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ropbox\Brain Gainz\THE PREP\Version 2.0\"/>
    </mc:Choice>
  </mc:AlternateContent>
  <xr:revisionPtr revIDLastSave="0" documentId="13_ncr:1_{A1119B2B-DD47-4862-B342-C8553804FA59}" xr6:coauthVersionLast="36" xr6:coauthVersionMax="36" xr10:uidLastSave="{00000000-0000-0000-0000-000000000000}"/>
  <bookViews>
    <workbookView xWindow="0" yWindow="0" windowWidth="23040" windowHeight="9048" xr2:uid="{00000000-000D-0000-FFFF-FFFF00000000}"/>
  </bookViews>
  <sheets>
    <sheet name="Block 1" sheetId="4" r:id="rId1"/>
    <sheet name="Block 2" sheetId="5" r:id="rId2"/>
    <sheet name="Block 3" sheetId="6" r:id="rId3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22" i="6" l="1"/>
  <c r="AX56" i="5"/>
  <c r="AX32" i="5"/>
  <c r="T57" i="6"/>
  <c r="T45" i="6"/>
  <c r="T33" i="6"/>
  <c r="T21" i="6"/>
  <c r="T21" i="5"/>
  <c r="T20" i="4"/>
  <c r="BM22" i="5" l="1"/>
  <c r="BM21" i="4"/>
  <c r="BM20" i="4"/>
  <c r="AX19" i="4"/>
  <c r="J52" i="5" l="1"/>
  <c r="BP18" i="4" l="1"/>
  <c r="BN18" i="4"/>
  <c r="AL18" i="4"/>
  <c r="AJ18" i="4"/>
  <c r="W18" i="4"/>
  <c r="U18" i="4"/>
  <c r="D11" i="4"/>
  <c r="D12" i="4"/>
  <c r="H18" i="4" l="1"/>
  <c r="F18" i="4"/>
  <c r="BK66" i="5" l="1"/>
  <c r="BK31" i="4"/>
  <c r="BK33" i="4"/>
  <c r="BK32" i="4"/>
  <c r="BM32" i="4" s="1"/>
  <c r="R32" i="4"/>
  <c r="R43" i="4" s="1"/>
  <c r="T65" i="4" s="1"/>
  <c r="R31" i="4"/>
  <c r="T53" i="4" s="1"/>
  <c r="R30" i="4"/>
  <c r="R41" i="4" s="1"/>
  <c r="R29" i="4"/>
  <c r="R40" i="4" s="1"/>
  <c r="AV62" i="4"/>
  <c r="AV33" i="4"/>
  <c r="AV44" i="4" s="1"/>
  <c r="AV55" i="4" s="1"/>
  <c r="AV66" i="4" s="1"/>
  <c r="AV32" i="4"/>
  <c r="AV43" i="4" s="1"/>
  <c r="AV31" i="4"/>
  <c r="AV42" i="4" s="1"/>
  <c r="AV30" i="4"/>
  <c r="AV29" i="4"/>
  <c r="AV40" i="4" s="1"/>
  <c r="AV51" i="4" s="1"/>
  <c r="AG73" i="4"/>
  <c r="AG62" i="4"/>
  <c r="AG51" i="4"/>
  <c r="AG40" i="4"/>
  <c r="AG29" i="4"/>
  <c r="AV77" i="4"/>
  <c r="AG31" i="4"/>
  <c r="AG30" i="4"/>
  <c r="BR52" i="5"/>
  <c r="AN52" i="5"/>
  <c r="BR60" i="4"/>
  <c r="F10" i="5" s="1"/>
  <c r="AN60" i="4"/>
  <c r="H10" i="5" s="1"/>
  <c r="J60" i="4"/>
  <c r="AV41" i="4" l="1"/>
  <c r="AX41" i="4" s="1"/>
  <c r="AX30" i="4"/>
  <c r="R42" i="4"/>
  <c r="T42" i="4" s="1"/>
  <c r="T31" i="4"/>
  <c r="R62" i="4"/>
  <c r="R51" i="4"/>
  <c r="AV65" i="4"/>
  <c r="AV54" i="4"/>
  <c r="AV64" i="4"/>
  <c r="AV53" i="4"/>
  <c r="AV52" i="4"/>
  <c r="AX52" i="4" s="1"/>
  <c r="AV63" i="4"/>
  <c r="AX63" i="4" s="1"/>
  <c r="R52" i="4"/>
  <c r="R64" i="4"/>
  <c r="R53" i="4"/>
  <c r="R65" i="4"/>
  <c r="R66" i="4"/>
  <c r="R54" i="4"/>
  <c r="C33" i="4" l="1"/>
  <c r="C32" i="4"/>
  <c r="C31" i="4"/>
  <c r="C30" i="4"/>
  <c r="C29" i="4"/>
  <c r="BK58" i="6"/>
  <c r="BM58" i="6" s="1"/>
  <c r="BK46" i="6"/>
  <c r="BM46" i="6" s="1"/>
  <c r="BK34" i="6"/>
  <c r="BM34" i="6" s="1"/>
  <c r="BK76" i="4"/>
  <c r="BM76" i="4" s="1"/>
  <c r="BK66" i="4"/>
  <c r="BM66" i="4" s="1"/>
  <c r="BK54" i="4"/>
  <c r="BM54" i="4" s="1"/>
  <c r="BK43" i="4"/>
  <c r="BM43" i="4" s="1"/>
  <c r="BK69" i="5"/>
  <c r="BM69" i="5" s="1"/>
  <c r="BK58" i="5"/>
  <c r="BM58" i="5" s="1"/>
  <c r="BK46" i="5"/>
  <c r="BM46" i="5" s="1"/>
  <c r="BK34" i="5"/>
  <c r="BM34" i="5" s="1"/>
  <c r="D13" i="4"/>
  <c r="BP62" i="4"/>
  <c r="BN62" i="4"/>
  <c r="AL62" i="4"/>
  <c r="AJ62" i="4"/>
  <c r="H62" i="4"/>
  <c r="F62" i="4"/>
  <c r="BA18" i="4" l="1"/>
  <c r="AY18" i="4"/>
  <c r="H19" i="4"/>
  <c r="F30" i="4"/>
  <c r="F19" i="4"/>
  <c r="H64" i="4"/>
  <c r="F52" i="4"/>
  <c r="H41" i="4"/>
  <c r="F64" i="4"/>
  <c r="F41" i="4"/>
  <c r="H52" i="4"/>
  <c r="H30" i="4"/>
  <c r="F74" i="4"/>
  <c r="H74" i="4"/>
  <c r="E6" i="4"/>
  <c r="E6" i="5"/>
  <c r="AJ51" i="4" l="1"/>
  <c r="F29" i="4"/>
  <c r="C30" i="5"/>
  <c r="BK67" i="5"/>
  <c r="AG68" i="5"/>
  <c r="C68" i="5"/>
  <c r="C67" i="5"/>
  <c r="BP73" i="4"/>
  <c r="BN73" i="4"/>
  <c r="AL73" i="4"/>
  <c r="AJ73" i="4"/>
  <c r="T75" i="4"/>
  <c r="W73" i="4"/>
  <c r="W62" i="4"/>
  <c r="U73" i="4"/>
  <c r="U62" i="4"/>
  <c r="H73" i="4"/>
  <c r="F73" i="4"/>
  <c r="BM21" i="6"/>
  <c r="AV56" i="6"/>
  <c r="AV44" i="6"/>
  <c r="AV32" i="6"/>
  <c r="C31" i="6"/>
  <c r="C66" i="6" l="1"/>
  <c r="BK59" i="6"/>
  <c r="C59" i="6"/>
  <c r="R58" i="6"/>
  <c r="C58" i="6"/>
  <c r="BK57" i="6"/>
  <c r="BM57" i="6" s="1"/>
  <c r="AV57" i="6"/>
  <c r="AG57" i="6"/>
  <c r="R57" i="6"/>
  <c r="C57" i="6"/>
  <c r="AG56" i="6"/>
  <c r="R56" i="6"/>
  <c r="C56" i="6"/>
  <c r="C55" i="6"/>
  <c r="C54" i="6"/>
  <c r="BK47" i="6"/>
  <c r="C47" i="6"/>
  <c r="R46" i="6"/>
  <c r="C46" i="6"/>
  <c r="BK45" i="6"/>
  <c r="BM45" i="6" s="1"/>
  <c r="AV45" i="6"/>
  <c r="AG45" i="6"/>
  <c r="R45" i="6"/>
  <c r="C45" i="6"/>
  <c r="AG44" i="6"/>
  <c r="R44" i="6"/>
  <c r="C44" i="6"/>
  <c r="C42" i="6"/>
  <c r="BK35" i="6"/>
  <c r="C35" i="6"/>
  <c r="R34" i="6"/>
  <c r="C34" i="6"/>
  <c r="BK33" i="6"/>
  <c r="BM33" i="6" s="1"/>
  <c r="AV33" i="6"/>
  <c r="AG33" i="6"/>
  <c r="R33" i="6"/>
  <c r="C33" i="6"/>
  <c r="AG32" i="6"/>
  <c r="R32" i="6"/>
  <c r="C32" i="6"/>
  <c r="C30" i="6"/>
  <c r="E6" i="6"/>
  <c r="BM21" i="5" l="1"/>
  <c r="AV44" i="5"/>
  <c r="BK70" i="5"/>
  <c r="C70" i="5"/>
  <c r="R69" i="5"/>
  <c r="C69" i="5"/>
  <c r="BK68" i="5"/>
  <c r="AV68" i="5"/>
  <c r="R68" i="5"/>
  <c r="AV67" i="5"/>
  <c r="AG67" i="5"/>
  <c r="R67" i="5"/>
  <c r="C66" i="5"/>
  <c r="BK59" i="5"/>
  <c r="C59" i="5"/>
  <c r="R58" i="5"/>
  <c r="C58" i="5"/>
  <c r="BK57" i="5"/>
  <c r="BM57" i="5" s="1"/>
  <c r="AV57" i="5"/>
  <c r="C56" i="5"/>
  <c r="R57" i="5"/>
  <c r="T57" i="5" s="1"/>
  <c r="C57" i="5"/>
  <c r="AG56" i="5"/>
  <c r="R56" i="5"/>
  <c r="AG57" i="5"/>
  <c r="C55" i="5"/>
  <c r="C54" i="5"/>
  <c r="F10" i="6"/>
  <c r="H10" i="6"/>
  <c r="AJ18" i="6" s="1"/>
  <c r="D10" i="6"/>
  <c r="AY18" i="6" s="1"/>
  <c r="BK47" i="5"/>
  <c r="C47" i="5"/>
  <c r="R46" i="5"/>
  <c r="C46" i="5"/>
  <c r="BK45" i="5"/>
  <c r="BM45" i="5" s="1"/>
  <c r="AV45" i="5"/>
  <c r="C44" i="5"/>
  <c r="R45" i="5"/>
  <c r="T45" i="5" s="1"/>
  <c r="C45" i="5"/>
  <c r="AG44" i="5"/>
  <c r="R44" i="5"/>
  <c r="AG45" i="5"/>
  <c r="C42" i="5"/>
  <c r="BK35" i="5"/>
  <c r="C35" i="5"/>
  <c r="R34" i="5"/>
  <c r="C34" i="5"/>
  <c r="BK33" i="5"/>
  <c r="BM33" i="5" s="1"/>
  <c r="AV33" i="5"/>
  <c r="C32" i="5"/>
  <c r="R33" i="5"/>
  <c r="T33" i="5" s="1"/>
  <c r="C33" i="5"/>
  <c r="AV56" i="5"/>
  <c r="AG32" i="5"/>
  <c r="R32" i="5"/>
  <c r="AG33" i="5"/>
  <c r="F11" i="4"/>
  <c r="F12" i="4"/>
  <c r="T68" i="5" l="1"/>
  <c r="AL19" i="4"/>
  <c r="AL74" i="4"/>
  <c r="AJ30" i="4"/>
  <c r="AL30" i="4"/>
  <c r="AL41" i="4"/>
  <c r="AJ19" i="4"/>
  <c r="AL64" i="4"/>
  <c r="AJ64" i="4"/>
  <c r="AJ74" i="4"/>
  <c r="AL52" i="4"/>
  <c r="AJ41" i="4"/>
  <c r="AJ52" i="4"/>
  <c r="BA73" i="4"/>
  <c r="BA62" i="4"/>
  <c r="AY62" i="4"/>
  <c r="AY73" i="4"/>
  <c r="D11" i="6"/>
  <c r="U67" i="6"/>
  <c r="BA54" i="6"/>
  <c r="BA18" i="6"/>
  <c r="F43" i="6"/>
  <c r="F19" i="6"/>
  <c r="H55" i="6"/>
  <c r="H31" i="6"/>
  <c r="AY54" i="6"/>
  <c r="BA30" i="6"/>
  <c r="F55" i="6"/>
  <c r="F31" i="6"/>
  <c r="AY42" i="6"/>
  <c r="AY30" i="6"/>
  <c r="H43" i="6"/>
  <c r="H19" i="6"/>
  <c r="U66" i="6"/>
  <c r="BA42" i="6"/>
  <c r="BN54" i="6"/>
  <c r="BN30" i="6"/>
  <c r="U54" i="6"/>
  <c r="U42" i="6"/>
  <c r="W30" i="6"/>
  <c r="U18" i="6"/>
  <c r="W55" i="6"/>
  <c r="W43" i="6"/>
  <c r="W31" i="6"/>
  <c r="W19" i="6"/>
  <c r="U69" i="6"/>
  <c r="BN42" i="6"/>
  <c r="BN18" i="6"/>
  <c r="U55" i="6"/>
  <c r="U43" i="6"/>
  <c r="U31" i="6"/>
  <c r="U19" i="6"/>
  <c r="U68" i="6"/>
  <c r="BP54" i="6"/>
  <c r="BP30" i="6"/>
  <c r="W54" i="6"/>
  <c r="W42" i="6"/>
  <c r="U30" i="6"/>
  <c r="W18" i="6"/>
  <c r="BP42" i="6"/>
  <c r="BP18" i="6"/>
  <c r="F12" i="6"/>
  <c r="H11" i="6"/>
  <c r="F70" i="6"/>
  <c r="AJ55" i="6"/>
  <c r="AJ43" i="6"/>
  <c r="AL31" i="6"/>
  <c r="AJ19" i="6"/>
  <c r="AL54" i="6"/>
  <c r="AL43" i="6"/>
  <c r="AL30" i="6"/>
  <c r="AJ42" i="6"/>
  <c r="AJ31" i="6"/>
  <c r="AJ54" i="6"/>
  <c r="AL42" i="6"/>
  <c r="AJ30" i="6"/>
  <c r="AL55" i="6"/>
  <c r="AL19" i="6"/>
  <c r="H30" i="6"/>
  <c r="H42" i="6"/>
  <c r="F30" i="6"/>
  <c r="H54" i="6"/>
  <c r="F54" i="6"/>
  <c r="F11" i="6"/>
  <c r="AJ20" i="6" s="1"/>
  <c r="F13" i="6"/>
  <c r="BN20" i="6" s="1"/>
  <c r="F18" i="6"/>
  <c r="D12" i="6"/>
  <c r="H18" i="6"/>
  <c r="D13" i="6"/>
  <c r="F42" i="6"/>
  <c r="AL18" i="6"/>
  <c r="H12" i="6"/>
  <c r="D10" i="5"/>
  <c r="R76" i="4"/>
  <c r="R75" i="4"/>
  <c r="R74" i="4"/>
  <c r="AG75" i="4"/>
  <c r="AG74" i="4"/>
  <c r="AG65" i="4"/>
  <c r="AG64" i="4"/>
  <c r="AG53" i="4"/>
  <c r="AG52" i="4"/>
  <c r="AG42" i="4"/>
  <c r="AG41" i="4"/>
  <c r="BK77" i="4"/>
  <c r="BK75" i="4"/>
  <c r="AV74" i="4"/>
  <c r="AX74" i="4" s="1"/>
  <c r="AV75" i="4"/>
  <c r="BK65" i="4"/>
  <c r="BK67" i="4"/>
  <c r="BK55" i="4"/>
  <c r="BK53" i="4"/>
  <c r="BM53" i="4" s="1"/>
  <c r="BK44" i="4"/>
  <c r="BK42" i="4"/>
  <c r="BM42" i="4" s="1"/>
  <c r="BM31" i="4"/>
  <c r="BP51" i="4"/>
  <c r="BN51" i="4"/>
  <c r="BP40" i="4"/>
  <c r="BN40" i="4"/>
  <c r="BP29" i="4"/>
  <c r="BN29" i="4"/>
  <c r="BA56" i="6" l="1"/>
  <c r="BA32" i="6"/>
  <c r="AY32" i="6"/>
  <c r="AY56" i="6"/>
  <c r="BA44" i="6"/>
  <c r="BA20" i="6"/>
  <c r="AY44" i="6"/>
  <c r="AY20" i="6"/>
  <c r="AL45" i="6"/>
  <c r="AL21" i="6"/>
  <c r="AJ45" i="6"/>
  <c r="AJ21" i="6"/>
  <c r="AL57" i="6"/>
  <c r="AL33" i="6"/>
  <c r="AJ57" i="6"/>
  <c r="AJ33" i="6"/>
  <c r="H12" i="5"/>
  <c r="H11" i="5"/>
  <c r="D13" i="5"/>
  <c r="AY18" i="5" s="1"/>
  <c r="F54" i="5"/>
  <c r="F18" i="5"/>
  <c r="F19" i="5"/>
  <c r="BN18" i="5"/>
  <c r="U18" i="5"/>
  <c r="AJ18" i="5"/>
  <c r="AJ42" i="5"/>
  <c r="AJ43" i="5"/>
  <c r="BM65" i="4"/>
  <c r="BM75" i="4"/>
  <c r="AL66" i="5"/>
  <c r="AJ54" i="5"/>
  <c r="AJ66" i="5"/>
  <c r="AL54" i="5"/>
  <c r="F66" i="5"/>
  <c r="H66" i="5"/>
  <c r="H42" i="5"/>
  <c r="H54" i="5"/>
  <c r="BP66" i="5"/>
  <c r="W54" i="5"/>
  <c r="BN66" i="5"/>
  <c r="U54" i="5"/>
  <c r="BN54" i="5"/>
  <c r="U66" i="5"/>
  <c r="W66" i="5"/>
  <c r="BP54" i="5"/>
  <c r="BN42" i="5"/>
  <c r="BN31" i="5"/>
  <c r="BN19" i="5"/>
  <c r="BP43" i="5"/>
  <c r="BP31" i="5"/>
  <c r="BP19" i="5"/>
  <c r="BN43" i="5"/>
  <c r="BP30" i="5"/>
  <c r="BP18" i="5"/>
  <c r="BP42" i="5"/>
  <c r="BN30" i="5"/>
  <c r="AJ44" i="6"/>
  <c r="AL44" i="6"/>
  <c r="AJ32" i="6"/>
  <c r="AJ56" i="6"/>
  <c r="AL20" i="6"/>
  <c r="AL56" i="6"/>
  <c r="AL32" i="6"/>
  <c r="BN56" i="6"/>
  <c r="BN32" i="6"/>
  <c r="BN44" i="6"/>
  <c r="BP56" i="6"/>
  <c r="BP32" i="6"/>
  <c r="BP44" i="6"/>
  <c r="BP20" i="6"/>
  <c r="F42" i="5"/>
  <c r="H43" i="5"/>
  <c r="F43" i="5"/>
  <c r="AL19" i="5"/>
  <c r="AL42" i="5"/>
  <c r="AJ19" i="5"/>
  <c r="AL43" i="5"/>
  <c r="AL30" i="5"/>
  <c r="AL18" i="5"/>
  <c r="AJ30" i="5"/>
  <c r="W30" i="5"/>
  <c r="U30" i="5"/>
  <c r="W42" i="5"/>
  <c r="W18" i="5"/>
  <c r="U42" i="5"/>
  <c r="H30" i="5"/>
  <c r="H18" i="5"/>
  <c r="F30" i="5"/>
  <c r="H19" i="5"/>
  <c r="F11" i="5"/>
  <c r="F12" i="5"/>
  <c r="F13" i="5"/>
  <c r="BN20" i="5" s="1"/>
  <c r="D11" i="5"/>
  <c r="D12" i="5"/>
  <c r="AL51" i="4"/>
  <c r="AL40" i="4"/>
  <c r="AL29" i="4"/>
  <c r="AJ40" i="4"/>
  <c r="AJ29" i="4"/>
  <c r="W51" i="4"/>
  <c r="U51" i="4"/>
  <c r="W40" i="4"/>
  <c r="U40" i="4"/>
  <c r="W29" i="4"/>
  <c r="U29" i="4"/>
  <c r="H51" i="4"/>
  <c r="F51" i="4"/>
  <c r="F40" i="4"/>
  <c r="H40" i="4"/>
  <c r="C63" i="4"/>
  <c r="H29" i="4"/>
  <c r="C52" i="4"/>
  <c r="C53" i="4"/>
  <c r="C54" i="4"/>
  <c r="C55" i="4"/>
  <c r="C64" i="4"/>
  <c r="C65" i="4"/>
  <c r="C66" i="4"/>
  <c r="C67" i="4"/>
  <c r="C74" i="4"/>
  <c r="C75" i="4"/>
  <c r="C76" i="4"/>
  <c r="C77" i="4"/>
  <c r="C73" i="4"/>
  <c r="C62" i="4"/>
  <c r="C51" i="4"/>
  <c r="C40" i="4"/>
  <c r="C41" i="4"/>
  <c r="C42" i="4"/>
  <c r="C43" i="4"/>
  <c r="C44" i="4"/>
  <c r="AY67" i="5" l="1"/>
  <c r="BA67" i="5"/>
  <c r="AY44" i="5"/>
  <c r="AL20" i="5"/>
  <c r="AL44" i="5"/>
  <c r="AL67" i="5"/>
  <c r="AJ32" i="5"/>
  <c r="AJ20" i="5"/>
  <c r="AJ44" i="5"/>
  <c r="AJ67" i="5"/>
  <c r="AL56" i="5"/>
  <c r="AJ56" i="5"/>
  <c r="AL32" i="5"/>
  <c r="BA44" i="5"/>
  <c r="BA20" i="5"/>
  <c r="AY20" i="5"/>
  <c r="AL57" i="5"/>
  <c r="AL33" i="5"/>
  <c r="AJ33" i="5"/>
  <c r="AJ45" i="5"/>
  <c r="AJ57" i="5"/>
  <c r="AL68" i="5"/>
  <c r="AL45" i="5"/>
  <c r="AL21" i="5"/>
  <c r="AJ68" i="5"/>
  <c r="AJ21" i="5"/>
  <c r="AY66" i="5"/>
  <c r="BA66" i="5"/>
  <c r="AY54" i="5"/>
  <c r="BA42" i="5"/>
  <c r="BA30" i="5"/>
  <c r="AY55" i="5"/>
  <c r="AY42" i="5"/>
  <c r="AY30" i="5"/>
  <c r="BA55" i="5"/>
  <c r="BA31" i="5"/>
  <c r="BA18" i="5"/>
  <c r="BA54" i="5"/>
  <c r="AY31" i="5"/>
  <c r="BP67" i="5"/>
  <c r="BN67" i="5"/>
  <c r="BP56" i="5"/>
  <c r="BN56" i="5"/>
  <c r="BP44" i="5"/>
  <c r="BP20" i="5"/>
  <c r="BP32" i="5"/>
  <c r="BN44" i="5"/>
  <c r="BN32" i="5"/>
  <c r="BA51" i="4"/>
  <c r="BA29" i="4"/>
  <c r="AY51" i="4"/>
  <c r="AY29" i="4"/>
  <c r="BA40" i="4"/>
  <c r="AY40" i="4"/>
  <c r="H12" i="4"/>
  <c r="H11" i="4"/>
  <c r="F13" i="4"/>
  <c r="BN19" i="4" l="1"/>
  <c r="BP19" i="4"/>
  <c r="BP74" i="4"/>
  <c r="BN74" i="4"/>
  <c r="BN64" i="4"/>
  <c r="BP64" i="4"/>
  <c r="BP52" i="4"/>
  <c r="BP30" i="4"/>
  <c r="BN41" i="4"/>
  <c r="BN52" i="4"/>
  <c r="BN30" i="4"/>
  <c r="BP41" i="4"/>
</calcChain>
</file>

<file path=xl/sharedStrings.xml><?xml version="1.0" encoding="utf-8"?>
<sst xmlns="http://schemas.openxmlformats.org/spreadsheetml/2006/main" count="2195" uniqueCount="138">
  <si>
    <t>Dips</t>
  </si>
  <si>
    <t>Beinbeuger</t>
  </si>
  <si>
    <t>Gürtel</t>
  </si>
  <si>
    <t>-</t>
  </si>
  <si>
    <t>Reps</t>
  </si>
  <si>
    <t>e1RM</t>
  </si>
  <si>
    <t>Sets</t>
  </si>
  <si>
    <t>RPE</t>
  </si>
  <si>
    <t>Equipment</t>
  </si>
  <si>
    <t>Notizen</t>
  </si>
  <si>
    <t>Bewegtes Gewicht</t>
  </si>
  <si>
    <t>Woche 1</t>
  </si>
  <si>
    <t>Woche 4</t>
  </si>
  <si>
    <t>Woche 3</t>
  </si>
  <si>
    <t>Woche 2</t>
  </si>
  <si>
    <t>Beinbeuger sitzend</t>
  </si>
  <si>
    <t>Beinbeuger liegend</t>
  </si>
  <si>
    <t>Latzug</t>
  </si>
  <si>
    <t>Latzug enger UG</t>
  </si>
  <si>
    <t>Latzug enger NG</t>
  </si>
  <si>
    <t>Facepulls</t>
  </si>
  <si>
    <t>Optional: Bizeps</t>
  </si>
  <si>
    <t>Optional: Trizeps</t>
  </si>
  <si>
    <t>Beinpresse einbeinig</t>
  </si>
  <si>
    <t>LH/KH Ausfallschritte</t>
  </si>
  <si>
    <t>KH Bulgarian Split Squats</t>
  </si>
  <si>
    <t>Hip Thrusts</t>
  </si>
  <si>
    <t>Überzüge am Kabel</t>
  </si>
  <si>
    <t>10-12</t>
  </si>
  <si>
    <t>Gewicht (kg)</t>
  </si>
  <si>
    <t>7-8</t>
  </si>
  <si>
    <t>6-7</t>
  </si>
  <si>
    <t>401 Tempo: 4 Sek. Exzentrik, keine Pause, explosive Konzentrik</t>
  </si>
  <si>
    <t>90-95% von Top Satz</t>
  </si>
  <si>
    <t>8-9</t>
  </si>
  <si>
    <t>6-8</t>
  </si>
  <si>
    <t>12-15</t>
  </si>
  <si>
    <t>2-3</t>
  </si>
  <si>
    <t>8-12</t>
  </si>
  <si>
    <t>3-4</t>
  </si>
  <si>
    <t>Gürtel, ggf. Zughilfen</t>
  </si>
  <si>
    <t>8-10</t>
  </si>
  <si>
    <t>Woche 5 / Deload</t>
  </si>
  <si>
    <t>Woche 5 / Taper</t>
  </si>
  <si>
    <t>Montag</t>
  </si>
  <si>
    <t>Mittwoch</t>
  </si>
  <si>
    <t>Donnerstag &amp; Freitag</t>
  </si>
  <si>
    <t>Opener</t>
  </si>
  <si>
    <t>~3-4% unter Opener</t>
  </si>
  <si>
    <t>5-6</t>
  </si>
  <si>
    <t>Für die Versuchsauswahl bietet sich zur ersten Orientierung an:</t>
  </si>
  <si>
    <t>2. Versuch: ~94-96%  (des angestrebten 1RM's)</t>
  </si>
  <si>
    <t>3. Versuch: ~98-100%  (des angestrebten 1RM's)</t>
  </si>
  <si>
    <t>1. Versuch: ~89-91%  (des angestrebten 1RM's*)</t>
  </si>
  <si>
    <t>e1RM's</t>
  </si>
  <si>
    <t>*als Richtwert: ca. 1-3% mehr als das bisherige e1RM</t>
  </si>
  <si>
    <t>Wdh.</t>
  </si>
  <si>
    <t>Kilo</t>
  </si>
  <si>
    <t>ggf. Zughilfen</t>
  </si>
  <si>
    <t>LH Seal Rows</t>
  </si>
  <si>
    <t>KH Seal Rows</t>
  </si>
  <si>
    <t>Gürtel, Sleeves, ggf. HGB</t>
  </si>
  <si>
    <t>ggf. HGB</t>
  </si>
  <si>
    <t>Gürtel, ggf. HGB</t>
  </si>
  <si>
    <t>Wettkampf (Samstag)</t>
  </si>
  <si>
    <t>1RM RECHNER</t>
  </si>
  <si>
    <t>Tatsächliche RPE</t>
  </si>
  <si>
    <t>Intro Woche</t>
  </si>
  <si>
    <t>KNIEBEUGE</t>
  </si>
  <si>
    <t>BANKDRÜCKEN</t>
  </si>
  <si>
    <t>KREUZHEBEN</t>
  </si>
  <si>
    <t>Rudern</t>
  </si>
  <si>
    <t>KH Rudern</t>
  </si>
  <si>
    <t>Rudermaschine</t>
  </si>
  <si>
    <t>2ct. WK-Kniebeuge</t>
  </si>
  <si>
    <t>401 WK-Kniebeuge</t>
  </si>
  <si>
    <t>Oberkörper Drückbewegung</t>
  </si>
  <si>
    <t>LH Schulterdrücken</t>
  </si>
  <si>
    <t>KH Schulterdrücken</t>
  </si>
  <si>
    <t>KH Bankdrücken</t>
  </si>
  <si>
    <t>KH Schrägbankddrücken</t>
  </si>
  <si>
    <t>Bankdrücken - Variation</t>
  </si>
  <si>
    <t>Kniebeuge - Variation</t>
  </si>
  <si>
    <t>Kreuzheben - Variation</t>
  </si>
  <si>
    <t>3ct. WK-Bankdrücken</t>
  </si>
  <si>
    <t>Spoto Bankdrücken</t>
  </si>
  <si>
    <t>Unterkörperübung, unilateral</t>
  </si>
  <si>
    <t>Rumänisches Kreuzheben</t>
  </si>
  <si>
    <t>Gestrecktes Kreuzheben</t>
  </si>
  <si>
    <t>Kreuzheben im Reißgriff</t>
  </si>
  <si>
    <t>Pendlay Rudern</t>
  </si>
  <si>
    <t>Vorgebeugtes Seitheben KH</t>
  </si>
  <si>
    <t>Hintere Schulter</t>
  </si>
  <si>
    <t>Vorgebeugtes Seitheben Maschine</t>
  </si>
  <si>
    <t>Vorgebeugtes Seitheben Kabel</t>
  </si>
  <si>
    <t>WK-Kniebeuge</t>
  </si>
  <si>
    <t>Optional: Unterarmstütz/Ab Roll</t>
  </si>
  <si>
    <t>WK-Bankdrücken</t>
  </si>
  <si>
    <t>WK-Kreuzheben</t>
  </si>
  <si>
    <t>Highbar Kniebeuge</t>
  </si>
  <si>
    <t>Enges Bankdrücken</t>
  </si>
  <si>
    <t>1ct. WK-Kreuzheben</t>
  </si>
  <si>
    <t>Defizit WK-Kreuzheben</t>
  </si>
  <si>
    <r>
      <t xml:space="preserve">Aktiven Regeneration: spazieren gehen, lockeres Radfahren, Mobility etc. Alles sollte sehr leicht sein und </t>
    </r>
    <r>
      <rPr>
        <b/>
        <u/>
        <sz val="12"/>
        <color theme="1"/>
        <rFont val="Calibri"/>
        <family val="2"/>
        <scheme val="minor"/>
      </rPr>
      <t>keine</t>
    </r>
    <r>
      <rPr>
        <b/>
        <sz val="12"/>
        <color theme="1"/>
        <rFont val="Calibri"/>
        <family val="2"/>
        <scheme val="minor"/>
      </rPr>
      <t xml:space="preserve"> zusätzliche körperliche Belastung darstellen! Bleibt schlichtweg in Bewegung.</t>
    </r>
  </si>
  <si>
    <t>Rumänisch / Reißgriff</t>
  </si>
  <si>
    <t>10</t>
  </si>
  <si>
    <t>W1 Tag 1</t>
  </si>
  <si>
    <t>W2 Tag 1</t>
  </si>
  <si>
    <t>Intro Tag 1</t>
  </si>
  <si>
    <t>Intro Tag 2</t>
  </si>
  <si>
    <t>Intro Tag 3</t>
  </si>
  <si>
    <t>Intro Tag 4</t>
  </si>
  <si>
    <t>Intro Tag 5</t>
  </si>
  <si>
    <t>W1 Tag 2</t>
  </si>
  <si>
    <t>W1 Tag 3</t>
  </si>
  <si>
    <t>W1 Tag 4</t>
  </si>
  <si>
    <t>W1 Tag 5</t>
  </si>
  <si>
    <t>W3 Tag 1</t>
  </si>
  <si>
    <t>W4 Tag 1</t>
  </si>
  <si>
    <t>W5 Tag 1</t>
  </si>
  <si>
    <t>W2 Tag 2</t>
  </si>
  <si>
    <t>W3 Tag 2</t>
  </si>
  <si>
    <t>W4 Tag 2</t>
  </si>
  <si>
    <t>W5 Tag 2</t>
  </si>
  <si>
    <t>W2 Tag 3</t>
  </si>
  <si>
    <t>W3 Tag 3</t>
  </si>
  <si>
    <t>W4 Tag 3</t>
  </si>
  <si>
    <t>W5 Tag 3</t>
  </si>
  <si>
    <t>W2 Tag 4</t>
  </si>
  <si>
    <t>W3 Tag 4</t>
  </si>
  <si>
    <t>W4 Tag 4</t>
  </si>
  <si>
    <t>W5 Tag 4</t>
  </si>
  <si>
    <t>W2 Tag 5</t>
  </si>
  <si>
    <t>W3 Tag 5</t>
  </si>
  <si>
    <t>W4 Tag 5</t>
  </si>
  <si>
    <t>W5 Tag 5</t>
  </si>
  <si>
    <t>Sätze</t>
  </si>
  <si>
    <t>Ausrüstung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</si>
</sst>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&quot;Kg&quot;"/>
    <numFmt numFmtId="165" formatCode="0\ &quot;Kg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EE0000"/>
      </left>
      <right style="medium">
        <color rgb="FFEE0000"/>
      </right>
      <top style="medium">
        <color rgb="FFEE0000"/>
      </top>
      <bottom style="medium">
        <color rgb="FFEE0000"/>
      </bottom>
      <diagonal/>
    </border>
    <border>
      <left style="medium">
        <color rgb="FF8A0000"/>
      </left>
      <right/>
      <top style="medium">
        <color rgb="FF8A0000"/>
      </top>
      <bottom/>
      <diagonal/>
    </border>
    <border>
      <left/>
      <right/>
      <top style="medium">
        <color rgb="FF8A0000"/>
      </top>
      <bottom/>
      <diagonal/>
    </border>
    <border>
      <left/>
      <right style="medium">
        <color rgb="FF8A0000"/>
      </right>
      <top style="medium">
        <color rgb="FF8A0000"/>
      </top>
      <bottom/>
      <diagonal/>
    </border>
    <border>
      <left style="medium">
        <color rgb="FF8A0000"/>
      </left>
      <right/>
      <top/>
      <bottom/>
      <diagonal/>
    </border>
    <border>
      <left/>
      <right style="medium">
        <color rgb="FF8A0000"/>
      </right>
      <top/>
      <bottom/>
      <diagonal/>
    </border>
    <border>
      <left style="medium">
        <color rgb="FF8A0000"/>
      </left>
      <right/>
      <top/>
      <bottom style="medium">
        <color rgb="FF8A0000"/>
      </bottom>
      <diagonal/>
    </border>
    <border>
      <left/>
      <right/>
      <top/>
      <bottom style="medium">
        <color rgb="FF8A0000"/>
      </bottom>
      <diagonal/>
    </border>
    <border>
      <left/>
      <right style="medium">
        <color rgb="FF8A0000"/>
      </right>
      <top/>
      <bottom style="medium">
        <color rgb="FF8A0000"/>
      </bottom>
      <diagonal/>
    </border>
    <border>
      <left style="medium">
        <color rgb="FF8A0000"/>
      </left>
      <right style="medium">
        <color rgb="FF8A0000"/>
      </right>
      <top style="medium">
        <color rgb="FF8A0000"/>
      </top>
      <bottom/>
      <diagonal/>
    </border>
    <border>
      <left style="medium">
        <color rgb="FF8A0000"/>
      </left>
      <right style="medium">
        <color rgb="FF8A0000"/>
      </right>
      <top/>
      <bottom style="medium">
        <color rgb="FF8A0000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rgb="FFFF0000"/>
      </right>
      <top style="medium">
        <color rgb="FFFF0000"/>
      </top>
      <bottom/>
      <diagonal/>
    </border>
    <border>
      <left style="medium">
        <color theme="1"/>
      </left>
      <right style="medium">
        <color rgb="FFEA0000"/>
      </right>
      <top style="medium">
        <color rgb="FFEA0000"/>
      </top>
      <bottom style="medium">
        <color rgb="FFEA0000"/>
      </bottom>
      <diagonal/>
    </border>
    <border>
      <left style="medium">
        <color theme="1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 style="medium">
        <color rgb="FFFF0000"/>
      </right>
      <top style="medium">
        <color rgb="FFEA0000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4" borderId="14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0" fontId="3" fillId="4" borderId="16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10" xfId="0" applyNumberFormat="1" applyFont="1" applyFill="1" applyBorder="1" applyAlignment="1">
      <alignment horizontal="center" wrapText="1"/>
    </xf>
    <xf numFmtId="0" fontId="3" fillId="2" borderId="19" xfId="0" applyNumberFormat="1" applyFont="1" applyFill="1" applyBorder="1" applyAlignment="1">
      <alignment horizontal="center" wrapText="1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wrapText="1"/>
    </xf>
    <xf numFmtId="0" fontId="3" fillId="2" borderId="18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Protection="1">
      <protection hidden="1"/>
    </xf>
    <xf numFmtId="16" fontId="3" fillId="2" borderId="1" xfId="0" quotePrefix="1" applyNumberFormat="1" applyFont="1" applyFill="1" applyBorder="1" applyAlignment="1">
      <alignment horizontal="center"/>
    </xf>
    <xf numFmtId="0" fontId="3" fillId="4" borderId="1" xfId="0" quotePrefix="1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left"/>
    </xf>
    <xf numFmtId="0" fontId="3" fillId="2" borderId="1" xfId="0" quotePrefix="1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/>
    <xf numFmtId="1" fontId="3" fillId="4" borderId="16" xfId="0" applyNumberFormat="1" applyFont="1" applyFill="1" applyBorder="1" applyAlignment="1"/>
    <xf numFmtId="1" fontId="3" fillId="2" borderId="19" xfId="0" applyNumberFormat="1" applyFont="1" applyFill="1" applyBorder="1" applyAlignment="1"/>
    <xf numFmtId="1" fontId="3" fillId="4" borderId="1" xfId="0" applyNumberFormat="1" applyFont="1" applyFill="1" applyBorder="1" applyAlignment="1">
      <alignment horizontal="left"/>
    </xf>
    <xf numFmtId="1" fontId="3" fillId="2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3" fillId="4" borderId="16" xfId="0" applyNumberFormat="1" applyFont="1" applyFill="1" applyBorder="1" applyAlignment="1">
      <alignment horizontal="right"/>
    </xf>
    <xf numFmtId="1" fontId="3" fillId="2" borderId="19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25" xfId="0" applyNumberFormat="1" applyFont="1" applyFill="1" applyBorder="1" applyAlignment="1">
      <alignment horizontal="center"/>
    </xf>
    <xf numFmtId="0" fontId="3" fillId="4" borderId="25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0" fontId="3" fillId="2" borderId="1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0" fontId="3" fillId="4" borderId="16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10" xfId="0" applyNumberFormat="1" applyFont="1" applyFill="1" applyBorder="1" applyAlignment="1">
      <alignment horizontal="center" wrapText="1"/>
    </xf>
    <xf numFmtId="0" fontId="3" fillId="2" borderId="19" xfId="0" applyNumberFormat="1" applyFont="1" applyFill="1" applyBorder="1" applyAlignment="1">
      <alignment horizontal="center" wrapText="1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wrapText="1"/>
    </xf>
    <xf numFmtId="0" fontId="0" fillId="2" borderId="0" xfId="0" applyFill="1" applyBorder="1"/>
    <xf numFmtId="0" fontId="0" fillId="2" borderId="10" xfId="0" applyFill="1" applyBorder="1"/>
    <xf numFmtId="0" fontId="0" fillId="2" borderId="26" xfId="0" applyFill="1" applyBorder="1"/>
    <xf numFmtId="1" fontId="0" fillId="0" borderId="0" xfId="0" applyNumberFormat="1" applyFill="1" applyBorder="1"/>
    <xf numFmtId="1" fontId="3" fillId="4" borderId="16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0" fontId="3" fillId="4" borderId="27" xfId="0" applyNumberFormat="1" applyFont="1" applyFill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5" borderId="27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1" fontId="3" fillId="5" borderId="16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left"/>
    </xf>
    <xf numFmtId="0" fontId="3" fillId="5" borderId="1" xfId="0" quotePrefix="1" applyNumberFormat="1" applyFont="1" applyFill="1" applyBorder="1" applyAlignment="1">
      <alignment horizontal="center"/>
    </xf>
    <xf numFmtId="0" fontId="3" fillId="5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2" borderId="28" xfId="0" applyNumberFormat="1" applyFont="1" applyFill="1" applyBorder="1" applyAlignment="1">
      <alignment horizontal="center"/>
    </xf>
    <xf numFmtId="0" fontId="3" fillId="4" borderId="29" xfId="0" applyNumberFormat="1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/>
    </xf>
    <xf numFmtId="0" fontId="3" fillId="4" borderId="26" xfId="0" applyNumberFormat="1" applyFont="1" applyFill="1" applyBorder="1" applyAlignment="1">
      <alignment horizontal="center"/>
    </xf>
    <xf numFmtId="0" fontId="3" fillId="5" borderId="2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3" fillId="6" borderId="9" xfId="0" applyNumberFormat="1" applyFont="1" applyFill="1" applyBorder="1" applyAlignment="1">
      <alignment vertical="center" wrapText="1"/>
    </xf>
    <xf numFmtId="0" fontId="3" fillId="6" borderId="0" xfId="0" applyNumberFormat="1" applyFont="1" applyFill="1" applyBorder="1" applyAlignment="1">
      <alignment vertical="center" wrapText="1"/>
    </xf>
    <xf numFmtId="0" fontId="3" fillId="6" borderId="0" xfId="0" applyNumberFormat="1" applyFont="1" applyFill="1" applyBorder="1" applyAlignment="1">
      <alignment horizontal="right" vertical="center" wrapText="1"/>
    </xf>
    <xf numFmtId="0" fontId="2" fillId="7" borderId="20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165" fontId="7" fillId="4" borderId="8" xfId="0" applyNumberFormat="1" applyFont="1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6" xfId="0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Border="1"/>
    <xf numFmtId="0" fontId="3" fillId="2" borderId="38" xfId="0" applyFont="1" applyFill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0" fillId="4" borderId="39" xfId="0" applyNumberForma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0" fontId="3" fillId="4" borderId="16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10" xfId="0" applyNumberFormat="1" applyFont="1" applyFill="1" applyBorder="1" applyAlignment="1">
      <alignment horizontal="center" wrapText="1"/>
    </xf>
    <xf numFmtId="0" fontId="3" fillId="2" borderId="19" xfId="0" applyNumberFormat="1" applyFont="1" applyFill="1" applyBorder="1" applyAlignment="1">
      <alignment horizontal="center" wrapText="1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wrapText="1"/>
    </xf>
    <xf numFmtId="0" fontId="3" fillId="2" borderId="18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0" fillId="0" borderId="0" xfId="0" applyProtection="1">
      <protection hidden="1"/>
    </xf>
    <xf numFmtId="0" fontId="2" fillId="8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5" fillId="3" borderId="41" xfId="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4" borderId="16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10" xfId="0" applyNumberFormat="1" applyFont="1" applyFill="1" applyBorder="1" applyAlignment="1">
      <alignment horizontal="center" wrapText="1"/>
    </xf>
    <xf numFmtId="1" fontId="3" fillId="4" borderId="16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3" fillId="2" borderId="53" xfId="0" applyNumberFormat="1" applyFont="1" applyFill="1" applyBorder="1" applyAlignment="1">
      <alignment horizontal="center"/>
    </xf>
    <xf numFmtId="0" fontId="3" fillId="4" borderId="53" xfId="0" applyNumberFormat="1" applyFont="1" applyFill="1" applyBorder="1" applyAlignment="1">
      <alignment horizontal="center"/>
    </xf>
    <xf numFmtId="0" fontId="3" fillId="2" borderId="56" xfId="0" applyNumberFormat="1" applyFont="1" applyFill="1" applyBorder="1" applyAlignment="1">
      <alignment horizontal="center"/>
    </xf>
    <xf numFmtId="0" fontId="3" fillId="4" borderId="56" xfId="0" applyNumberFormat="1" applyFont="1" applyFill="1" applyBorder="1" applyAlignment="1">
      <alignment horizontal="center"/>
    </xf>
    <xf numFmtId="0" fontId="3" fillId="2" borderId="57" xfId="0" applyNumberFormat="1" applyFont="1" applyFill="1" applyBorder="1" applyAlignment="1">
      <alignment horizontal="center"/>
    </xf>
    <xf numFmtId="0" fontId="3" fillId="2" borderId="58" xfId="0" applyNumberFormat="1" applyFont="1" applyFill="1" applyBorder="1" applyAlignment="1">
      <alignment horizontal="center"/>
    </xf>
    <xf numFmtId="1" fontId="3" fillId="2" borderId="59" xfId="0" applyNumberFormat="1" applyFont="1" applyFill="1" applyBorder="1" applyAlignment="1">
      <alignment horizontal="right"/>
    </xf>
    <xf numFmtId="0" fontId="0" fillId="2" borderId="47" xfId="0" applyFill="1" applyBorder="1" applyAlignment="1">
      <alignment horizontal="center"/>
    </xf>
    <xf numFmtId="1" fontId="3" fillId="2" borderId="58" xfId="0" applyNumberFormat="1" applyFont="1" applyFill="1" applyBorder="1" applyAlignment="1">
      <alignment horizontal="left"/>
    </xf>
    <xf numFmtId="0" fontId="3" fillId="2" borderId="47" xfId="0" applyNumberFormat="1" applyFont="1" applyFill="1" applyBorder="1" applyAlignment="1">
      <alignment horizontal="center"/>
    </xf>
    <xf numFmtId="0" fontId="3" fillId="2" borderId="55" xfId="0" applyNumberFormat="1" applyFont="1" applyFill="1" applyBorder="1" applyAlignment="1">
      <alignment horizontal="center" wrapText="1"/>
    </xf>
    <xf numFmtId="0" fontId="3" fillId="2" borderId="61" xfId="0" applyNumberFormat="1" applyFont="1" applyFill="1" applyBorder="1" applyAlignment="1">
      <alignment horizontal="center"/>
    </xf>
    <xf numFmtId="0" fontId="3" fillId="4" borderId="62" xfId="0" applyNumberFormat="1" applyFont="1" applyFill="1" applyBorder="1" applyAlignment="1">
      <alignment horizontal="center"/>
    </xf>
    <xf numFmtId="0" fontId="3" fillId="2" borderId="63" xfId="0" applyNumberFormat="1" applyFont="1" applyFill="1" applyBorder="1" applyAlignment="1">
      <alignment horizontal="center"/>
    </xf>
    <xf numFmtId="0" fontId="3" fillId="2" borderId="64" xfId="0" applyNumberFormat="1" applyFont="1" applyFill="1" applyBorder="1" applyAlignment="1">
      <alignment horizontal="center"/>
    </xf>
    <xf numFmtId="0" fontId="3" fillId="4" borderId="15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right"/>
    </xf>
    <xf numFmtId="1" fontId="3" fillId="4" borderId="12" xfId="0" applyNumberFormat="1" applyFont="1" applyFill="1" applyBorder="1" applyAlignment="1">
      <alignment horizontal="left"/>
    </xf>
    <xf numFmtId="0" fontId="3" fillId="4" borderId="7" xfId="0" applyNumberFormat="1" applyFont="1" applyFill="1" applyBorder="1" applyAlignment="1">
      <alignment horizontal="center"/>
    </xf>
    <xf numFmtId="0" fontId="3" fillId="4" borderId="19" xfId="0" applyNumberFormat="1" applyFont="1" applyFill="1" applyBorder="1" applyAlignment="1">
      <alignment horizontal="center" wrapText="1"/>
    </xf>
    <xf numFmtId="0" fontId="3" fillId="4" borderId="7" xfId="0" applyNumberFormat="1" applyFont="1" applyFill="1" applyBorder="1" applyAlignment="1">
      <alignment horizontal="center" wrapText="1"/>
    </xf>
    <xf numFmtId="0" fontId="3" fillId="4" borderId="8" xfId="0" applyNumberFormat="1" applyFont="1" applyFill="1" applyBorder="1" applyAlignment="1">
      <alignment horizontal="center" wrapText="1"/>
    </xf>
    <xf numFmtId="1" fontId="3" fillId="4" borderId="19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 wrapText="1"/>
    </xf>
    <xf numFmtId="0" fontId="3" fillId="2" borderId="7" xfId="0" applyNumberFormat="1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wrapText="1"/>
    </xf>
    <xf numFmtId="0" fontId="3" fillId="2" borderId="59" xfId="0" applyNumberFormat="1" applyFont="1" applyFill="1" applyBorder="1" applyAlignment="1">
      <alignment horizontal="center" wrapText="1"/>
    </xf>
    <xf numFmtId="0" fontId="3" fillId="2" borderId="47" xfId="0" applyNumberFormat="1" applyFont="1" applyFill="1" applyBorder="1" applyAlignment="1">
      <alignment horizontal="center" wrapText="1"/>
    </xf>
    <xf numFmtId="0" fontId="3" fillId="2" borderId="60" xfId="0" applyNumberFormat="1" applyFont="1" applyFill="1" applyBorder="1" applyAlignment="1">
      <alignment horizontal="center" wrapText="1"/>
    </xf>
    <xf numFmtId="0" fontId="3" fillId="2" borderId="1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0" fontId="3" fillId="2" borderId="55" xfId="0" applyNumberFormat="1" applyFont="1" applyFill="1" applyBorder="1" applyAlignment="1">
      <alignment horizontal="center" wrapText="1"/>
    </xf>
    <xf numFmtId="0" fontId="3" fillId="4" borderId="16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4" borderId="10" xfId="0" applyNumberFormat="1" applyFont="1" applyFill="1" applyBorder="1" applyAlignment="1">
      <alignment horizontal="center" wrapText="1"/>
    </xf>
    <xf numFmtId="0" fontId="3" fillId="4" borderId="55" xfId="0" applyNumberFormat="1" applyFont="1" applyFill="1" applyBorder="1" applyAlignment="1">
      <alignment horizontal="center" wrapText="1"/>
    </xf>
    <xf numFmtId="0" fontId="2" fillId="7" borderId="21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0" fontId="3" fillId="2" borderId="54" xfId="0" applyNumberFormat="1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5" borderId="16" xfId="0" applyNumberFormat="1" applyFont="1" applyFill="1" applyBorder="1" applyAlignment="1">
      <alignment horizontal="center" wrapText="1"/>
    </xf>
    <xf numFmtId="0" fontId="3" fillId="5" borderId="0" xfId="0" applyNumberFormat="1" applyFont="1" applyFill="1" applyBorder="1" applyAlignment="1">
      <alignment horizontal="center" wrapText="1"/>
    </xf>
    <xf numFmtId="0" fontId="3" fillId="5" borderId="10" xfId="0" applyNumberFormat="1" applyFont="1" applyFill="1" applyBorder="1" applyAlignment="1">
      <alignment horizontal="center" wrapText="1"/>
    </xf>
    <xf numFmtId="0" fontId="2" fillId="7" borderId="51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center"/>
    </xf>
    <xf numFmtId="0" fontId="2" fillId="7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9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6" borderId="8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5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left" vertical="center" wrapText="1"/>
    </xf>
    <xf numFmtId="0" fontId="3" fillId="6" borderId="10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A0000"/>
      <color rgb="FFFF0000"/>
      <color rgb="FF8A0000"/>
      <color rgb="FFCC0000"/>
      <color rgb="FFFF3737"/>
      <color rgb="FFFF3300"/>
      <color rgb="FFE60000"/>
      <color rgb="FFEE0000"/>
      <color rgb="FFC4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783627</xdr:colOff>
      <xdr:row>1</xdr:row>
      <xdr:rowOff>221325</xdr:rowOff>
    </xdr:from>
    <xdr:to>
      <xdr:col>17</xdr:col>
      <xdr:colOff>1108523</xdr:colOff>
      <xdr:row>14</xdr:row>
      <xdr:rowOff>410135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73C81EE-4AFC-44EF-A307-1EB3043AB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2904" y="414756"/>
          <a:ext cx="3068096" cy="3060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216877</xdr:rowOff>
    </xdr:from>
    <xdr:to>
      <xdr:col>17</xdr:col>
      <xdr:colOff>1110342</xdr:colOff>
      <xdr:row>14</xdr:row>
      <xdr:rowOff>405284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5329F2-A72E-4BC7-A84E-3568D13CD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4723" y="410308"/>
          <a:ext cx="3068096" cy="30605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785445</xdr:colOff>
      <xdr:row>1</xdr:row>
      <xdr:rowOff>216876</xdr:rowOff>
    </xdr:from>
    <xdr:to>
      <xdr:col>17</xdr:col>
      <xdr:colOff>1110341</xdr:colOff>
      <xdr:row>14</xdr:row>
      <xdr:rowOff>405283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2A5AB62-2C86-4E2B-92D3-7EE6D88CB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4722" y="398584"/>
          <a:ext cx="3068096" cy="3060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737"/>
  </sheetPr>
  <dimension ref="B1:CG79"/>
  <sheetViews>
    <sheetView showGridLines="0" tabSelected="1" zoomScale="70" zoomScaleNormal="70" workbookViewId="0">
      <selection activeCell="C4" sqref="C4"/>
    </sheetView>
  </sheetViews>
  <sheetFormatPr baseColWidth="10" defaultRowHeight="14.4" x14ac:dyDescent="0.3"/>
  <cols>
    <col min="1" max="2" width="5.6640625" customWidth="1"/>
    <col min="3" max="3" width="32.44140625" bestFit="1" customWidth="1"/>
    <col min="4" max="4" width="12.44140625" customWidth="1"/>
    <col min="5" max="5" width="20.6640625" bestFit="1" customWidth="1"/>
    <col min="6" max="6" width="12.44140625" style="46" customWidth="1"/>
    <col min="7" max="7" width="22.44140625" bestFit="1" customWidth="1"/>
    <col min="8" max="8" width="12.44140625" style="51" customWidth="1"/>
    <col min="9" max="9" width="12.44140625" customWidth="1"/>
    <col min="10" max="10" width="24.5546875" bestFit="1" customWidth="1"/>
    <col min="11" max="11" width="22.88671875" bestFit="1" customWidth="1"/>
    <col min="12" max="12" width="22.88671875" style="127" customWidth="1"/>
    <col min="13" max="16" width="11.44140625" customWidth="1"/>
    <col min="17" max="17" width="5.6640625" style="25" customWidth="1"/>
    <col min="18" max="18" width="34.33203125" style="25" bestFit="1" customWidth="1"/>
    <col min="19" max="20" width="12.44140625" style="25" customWidth="1"/>
    <col min="21" max="21" width="12.44140625" style="73" customWidth="1"/>
    <col min="22" max="22" width="12.44140625" style="25" customWidth="1"/>
    <col min="23" max="23" width="12.44140625" style="73" customWidth="1"/>
    <col min="24" max="24" width="12.44140625" style="25" customWidth="1"/>
    <col min="25" max="25" width="24.5546875" style="25" customWidth="1"/>
    <col min="26" max="26" width="22.88671875" style="25" bestFit="1" customWidth="1"/>
    <col min="27" max="27" width="22.88671875" style="127" customWidth="1"/>
    <col min="28" max="31" width="11.44140625" style="25" customWidth="1"/>
    <col min="32" max="32" width="5.6640625" style="25" customWidth="1"/>
    <col min="33" max="33" width="29.5546875" style="25" bestFit="1" customWidth="1"/>
    <col min="34" max="35" width="12.44140625" style="25" customWidth="1"/>
    <col min="36" max="36" width="12.44140625" style="54" customWidth="1"/>
    <col min="37" max="37" width="12.44140625" style="25" customWidth="1"/>
    <col min="38" max="38" width="12.44140625" style="55" customWidth="1"/>
    <col min="39" max="39" width="12.44140625" style="25" customWidth="1"/>
    <col min="40" max="40" width="24.5546875" style="25" customWidth="1"/>
    <col min="41" max="41" width="22.88671875" style="25" bestFit="1" customWidth="1"/>
    <col min="42" max="42" width="22.88671875" style="127" customWidth="1"/>
    <col min="43" max="46" width="11.44140625" style="25" customWidth="1"/>
    <col min="47" max="47" width="5.6640625" style="25" customWidth="1"/>
    <col min="48" max="48" width="32.44140625" style="25" bestFit="1" customWidth="1"/>
    <col min="49" max="50" width="12.44140625" style="25" customWidth="1"/>
    <col min="51" max="51" width="12.44140625" style="73" customWidth="1"/>
    <col min="52" max="52" width="12.44140625" style="25" customWidth="1"/>
    <col min="53" max="53" width="12.44140625" style="73" customWidth="1"/>
    <col min="54" max="54" width="12.44140625" style="25" customWidth="1"/>
    <col min="55" max="55" width="24.5546875" style="25" customWidth="1"/>
    <col min="56" max="56" width="22.88671875" style="25" bestFit="1" customWidth="1"/>
    <col min="57" max="57" width="22.88671875" style="127" customWidth="1"/>
    <col min="58" max="61" width="11.44140625" style="25" customWidth="1"/>
    <col min="62" max="62" width="5.6640625" style="25" customWidth="1"/>
    <col min="63" max="63" width="34.33203125" style="25" bestFit="1" customWidth="1"/>
    <col min="64" max="65" width="12.44140625" style="25" customWidth="1"/>
    <col min="66" max="66" width="12.44140625" style="54" customWidth="1"/>
    <col min="67" max="67" width="12.44140625" style="25" customWidth="1"/>
    <col min="68" max="68" width="12.44140625" style="55" customWidth="1"/>
    <col min="69" max="69" width="12.44140625" style="25" customWidth="1"/>
    <col min="70" max="70" width="24.5546875" style="25" customWidth="1"/>
    <col min="71" max="71" width="22.88671875" bestFit="1" customWidth="1"/>
    <col min="72" max="72" width="22.88671875" style="127" customWidth="1"/>
    <col min="73" max="76" width="11.44140625" customWidth="1"/>
    <col min="79" max="79" width="22" style="152" hidden="1" customWidth="1"/>
    <col min="80" max="80" width="11.44140625" style="152" hidden="1" customWidth="1"/>
    <col min="81" max="81" width="20" style="152" hidden="1" customWidth="1"/>
    <col min="82" max="82" width="11.44140625" style="152" hidden="1" customWidth="1"/>
    <col min="83" max="83" width="24.6640625" style="152" hidden="1" customWidth="1"/>
    <col min="84" max="84" width="11.44140625" style="152" hidden="1" customWidth="1"/>
    <col min="85" max="85" width="19" style="152" hidden="1" customWidth="1"/>
    <col min="86" max="86" width="11.44140625" customWidth="1"/>
  </cols>
  <sheetData>
    <row r="1" spans="2:85" ht="15.6" customHeight="1" x14ac:dyDescent="0.3"/>
    <row r="2" spans="2:85" ht="20.399999999999999" customHeight="1" thickBot="1" x14ac:dyDescent="0.35">
      <c r="C2" s="1"/>
      <c r="D2" s="1"/>
      <c r="E2" s="1"/>
      <c r="F2" s="47"/>
      <c r="G2" s="1"/>
      <c r="H2" s="50"/>
      <c r="I2" s="1"/>
      <c r="J2" s="245"/>
      <c r="K2" s="245"/>
      <c r="L2" s="245"/>
      <c r="M2" s="245"/>
      <c r="N2" s="245"/>
      <c r="O2" s="245"/>
      <c r="P2" s="245"/>
      <c r="Q2" s="245"/>
      <c r="R2" s="245"/>
      <c r="S2" s="245"/>
      <c r="AA2" s="25"/>
      <c r="AP2" s="25"/>
      <c r="BE2" s="25"/>
      <c r="BT2" s="25"/>
    </row>
    <row r="3" spans="2:85" ht="21" customHeight="1" thickBot="1" x14ac:dyDescent="0.35">
      <c r="B3" s="114"/>
      <c r="C3" s="115"/>
      <c r="D3" s="115"/>
      <c r="E3" s="115"/>
      <c r="F3" s="116"/>
      <c r="G3" s="115"/>
      <c r="H3" s="117"/>
      <c r="I3" s="118"/>
    </row>
    <row r="4" spans="2:85" ht="18.600000000000001" thickBot="1" x14ac:dyDescent="0.4">
      <c r="B4" s="119"/>
      <c r="C4" s="132" t="s">
        <v>65</v>
      </c>
      <c r="D4" s="128"/>
      <c r="E4" s="128"/>
      <c r="F4" s="47"/>
      <c r="G4" s="1"/>
      <c r="H4" s="50"/>
      <c r="I4" s="120"/>
    </row>
    <row r="5" spans="2:85" ht="15.6" x14ac:dyDescent="0.3">
      <c r="B5" s="119"/>
      <c r="C5" s="163" t="s">
        <v>56</v>
      </c>
      <c r="D5" s="133" t="s">
        <v>57</v>
      </c>
      <c r="E5" s="126" t="s">
        <v>5</v>
      </c>
      <c r="F5" s="47"/>
      <c r="G5" s="1"/>
      <c r="H5" s="50"/>
      <c r="I5" s="120"/>
    </row>
    <row r="6" spans="2:85" ht="15" thickBot="1" x14ac:dyDescent="0.35">
      <c r="B6" s="119"/>
      <c r="C6" s="164">
        <v>0</v>
      </c>
      <c r="D6" s="129">
        <v>0</v>
      </c>
      <c r="E6" s="134">
        <f>(C6*D6*0.0333)+D6</f>
        <v>0</v>
      </c>
      <c r="F6" s="47"/>
      <c r="G6" s="1"/>
      <c r="H6" s="50"/>
      <c r="I6" s="120"/>
    </row>
    <row r="7" spans="2:85" x14ac:dyDescent="0.3">
      <c r="B7" s="119"/>
      <c r="C7" s="1"/>
      <c r="D7" s="1"/>
      <c r="E7" s="1"/>
      <c r="F7" s="47"/>
      <c r="G7" s="1"/>
      <c r="H7" s="50"/>
      <c r="I7" s="120"/>
    </row>
    <row r="8" spans="2:85" ht="15" thickBot="1" x14ac:dyDescent="0.35">
      <c r="B8" s="119"/>
      <c r="C8" s="1"/>
      <c r="D8" s="1"/>
      <c r="E8" s="1"/>
      <c r="F8" s="47"/>
      <c r="G8" s="1"/>
      <c r="H8" s="50"/>
      <c r="I8" s="120"/>
      <c r="J8" s="1"/>
      <c r="K8" s="1"/>
      <c r="L8" s="1"/>
      <c r="M8" s="1"/>
      <c r="N8" s="1"/>
      <c r="O8" s="1"/>
      <c r="P8" s="1"/>
      <c r="AA8" s="1"/>
      <c r="AP8" s="1"/>
      <c r="BE8" s="1"/>
      <c r="BT8" s="1"/>
    </row>
    <row r="9" spans="2:85" ht="18.600000000000001" thickBot="1" x14ac:dyDescent="0.4">
      <c r="B9" s="119"/>
      <c r="C9" s="153" t="s">
        <v>68</v>
      </c>
      <c r="D9" s="104" t="s">
        <v>54</v>
      </c>
      <c r="E9" s="158" t="s">
        <v>69</v>
      </c>
      <c r="F9" s="104" t="s">
        <v>54</v>
      </c>
      <c r="G9" s="158" t="s">
        <v>70</v>
      </c>
      <c r="H9" s="105" t="s">
        <v>54</v>
      </c>
      <c r="I9" s="120"/>
      <c r="J9" s="1"/>
      <c r="K9" s="41" t="s">
        <v>5</v>
      </c>
      <c r="L9" s="41"/>
      <c r="M9" s="1"/>
      <c r="N9" s="1"/>
      <c r="O9" s="1"/>
      <c r="P9" s="1"/>
      <c r="AA9" s="41"/>
      <c r="AP9" s="41"/>
      <c r="BE9" s="41"/>
      <c r="BT9" s="41"/>
    </row>
    <row r="10" spans="2:85" ht="15.6" x14ac:dyDescent="0.3">
      <c r="B10" s="119"/>
      <c r="C10" s="154" t="s">
        <v>95</v>
      </c>
      <c r="D10" s="108">
        <v>0</v>
      </c>
      <c r="E10" s="159" t="s">
        <v>97</v>
      </c>
      <c r="F10" s="108">
        <v>0</v>
      </c>
      <c r="G10" s="159" t="s">
        <v>98</v>
      </c>
      <c r="H10" s="109">
        <v>0</v>
      </c>
      <c r="I10" s="120"/>
      <c r="J10" s="1"/>
      <c r="K10" s="42"/>
      <c r="L10" s="42"/>
      <c r="M10" s="2"/>
      <c r="N10" s="2"/>
      <c r="O10" s="1"/>
      <c r="P10" s="1"/>
      <c r="AA10" s="42"/>
      <c r="AP10" s="42"/>
      <c r="BE10" s="42"/>
      <c r="BT10" s="42"/>
    </row>
    <row r="11" spans="2:85" ht="15.6" x14ac:dyDescent="0.3">
      <c r="B11" s="119"/>
      <c r="C11" s="155" t="s">
        <v>74</v>
      </c>
      <c r="D11" s="110">
        <f>D10*0.9</f>
        <v>0</v>
      </c>
      <c r="E11" s="160" t="s">
        <v>84</v>
      </c>
      <c r="F11" s="110">
        <f>F10*0.925</f>
        <v>0</v>
      </c>
      <c r="G11" s="160" t="s">
        <v>102</v>
      </c>
      <c r="H11" s="111">
        <f>0.93*H10</f>
        <v>0</v>
      </c>
      <c r="I11" s="120"/>
      <c r="M11" s="2"/>
      <c r="N11" s="2"/>
      <c r="O11" s="1"/>
      <c r="P11" s="1"/>
    </row>
    <row r="12" spans="2:85" ht="15.6" x14ac:dyDescent="0.3">
      <c r="B12" s="119"/>
      <c r="C12" s="156" t="s">
        <v>75</v>
      </c>
      <c r="D12" s="108">
        <f>D10*0.85</f>
        <v>0</v>
      </c>
      <c r="E12" s="161" t="s">
        <v>85</v>
      </c>
      <c r="F12" s="108">
        <f>F10*0.9</f>
        <v>0</v>
      </c>
      <c r="G12" s="161" t="s">
        <v>101</v>
      </c>
      <c r="H12" s="109">
        <f>0.85*H10</f>
        <v>0</v>
      </c>
      <c r="I12" s="120"/>
      <c r="M12" s="1"/>
      <c r="N12" s="1"/>
      <c r="O12" s="1"/>
      <c r="P12" s="1"/>
    </row>
    <row r="13" spans="2:85" ht="16.2" thickBot="1" x14ac:dyDescent="0.35">
      <c r="B13" s="119"/>
      <c r="C13" s="157" t="s">
        <v>99</v>
      </c>
      <c r="D13" s="112">
        <f>D10*0.85</f>
        <v>0</v>
      </c>
      <c r="E13" s="162" t="s">
        <v>100</v>
      </c>
      <c r="F13" s="112">
        <f>0.9*F10</f>
        <v>0</v>
      </c>
      <c r="G13" s="162" t="s">
        <v>104</v>
      </c>
      <c r="H13" s="113" t="s">
        <v>3</v>
      </c>
      <c r="I13" s="120"/>
      <c r="K13" s="1"/>
      <c r="L13" s="1"/>
      <c r="M13" s="1"/>
      <c r="N13" s="1"/>
      <c r="O13" s="1"/>
      <c r="P13" s="1"/>
      <c r="AA13" s="1"/>
      <c r="AP13" s="1"/>
      <c r="BE13" s="1"/>
      <c r="BT13" s="1"/>
    </row>
    <row r="14" spans="2:85" ht="24" customHeight="1" thickBot="1" x14ac:dyDescent="0.35">
      <c r="B14" s="121"/>
      <c r="C14" s="122"/>
      <c r="D14" s="122"/>
      <c r="E14" s="122"/>
      <c r="F14" s="123"/>
      <c r="G14" s="122"/>
      <c r="H14" s="124"/>
      <c r="I14" s="125"/>
      <c r="J14" s="1"/>
      <c r="K14" s="1"/>
      <c r="L14" s="1"/>
      <c r="M14" s="1"/>
      <c r="N14" s="1"/>
      <c r="O14" s="1"/>
      <c r="P14" s="1"/>
      <c r="AA14" s="1"/>
      <c r="AP14" s="1"/>
      <c r="BE14" s="1"/>
      <c r="BT14" s="1"/>
    </row>
    <row r="15" spans="2:85" ht="42.6" customHeight="1" thickBot="1" x14ac:dyDescent="0.35">
      <c r="C15" s="1"/>
      <c r="D15" s="1"/>
      <c r="E15" s="1"/>
      <c r="F15" s="47"/>
      <c r="G15" s="1"/>
      <c r="H15" s="50"/>
      <c r="I15" s="1"/>
      <c r="J15" s="1"/>
      <c r="K15" s="1"/>
      <c r="L15" s="1"/>
      <c r="M15" s="1"/>
      <c r="N15" s="1"/>
      <c r="O15" s="1"/>
      <c r="P15" s="1"/>
      <c r="AA15" s="1"/>
      <c r="AP15" s="1"/>
      <c r="BE15" s="1"/>
      <c r="BT15" s="1"/>
    </row>
    <row r="16" spans="2:85" s="127" customFormat="1" ht="24" thickBot="1" x14ac:dyDescent="0.35">
      <c r="C16" s="131" t="s">
        <v>67</v>
      </c>
      <c r="D16" s="1"/>
      <c r="E16" s="1"/>
      <c r="F16" s="47"/>
      <c r="G16" s="1"/>
      <c r="H16" s="50"/>
      <c r="I16" s="1"/>
      <c r="J16" s="1"/>
      <c r="K16" s="1"/>
      <c r="L16" s="1"/>
      <c r="M16" s="1"/>
      <c r="N16" s="1"/>
      <c r="O16" s="1"/>
      <c r="P16" s="1"/>
      <c r="Q16" s="25"/>
      <c r="R16" s="25"/>
      <c r="S16" s="25"/>
      <c r="T16" s="25"/>
      <c r="U16" s="73"/>
      <c r="V16" s="25"/>
      <c r="W16" s="73"/>
      <c r="X16" s="25"/>
      <c r="Y16" s="25"/>
      <c r="Z16" s="25"/>
      <c r="AA16" s="1"/>
      <c r="AB16" s="25"/>
      <c r="AC16" s="25"/>
      <c r="AD16" s="25"/>
      <c r="AE16" s="25"/>
      <c r="AF16" s="25"/>
      <c r="AG16" s="25"/>
      <c r="AH16" s="25"/>
      <c r="AI16" s="25"/>
      <c r="AJ16" s="54"/>
      <c r="AK16" s="25"/>
      <c r="AL16" s="55"/>
      <c r="AM16" s="25"/>
      <c r="AN16" s="25"/>
      <c r="AO16" s="25"/>
      <c r="AP16" s="1"/>
      <c r="AQ16" s="25"/>
      <c r="AR16" s="25"/>
      <c r="AS16" s="25"/>
      <c r="AT16" s="25"/>
      <c r="AU16" s="25"/>
      <c r="AV16" s="25"/>
      <c r="AW16" s="25"/>
      <c r="AX16" s="25"/>
      <c r="AY16" s="73"/>
      <c r="AZ16" s="25"/>
      <c r="BA16" s="73"/>
      <c r="BB16" s="25"/>
      <c r="BC16" s="25"/>
      <c r="BD16" s="25"/>
      <c r="BE16" s="1"/>
      <c r="BF16" s="25"/>
      <c r="BG16" s="25"/>
      <c r="BH16" s="25"/>
      <c r="BI16" s="25"/>
      <c r="BJ16" s="25"/>
      <c r="BK16" s="25"/>
      <c r="BL16" s="25"/>
      <c r="BM16" s="25"/>
      <c r="BN16" s="54"/>
      <c r="BO16" s="25"/>
      <c r="BP16" s="55"/>
      <c r="BQ16" s="25"/>
      <c r="BR16" s="25"/>
      <c r="BT16" s="1"/>
      <c r="CA16" s="152"/>
      <c r="CB16" s="152"/>
      <c r="CC16" s="152"/>
      <c r="CD16" s="152"/>
      <c r="CE16" s="152"/>
      <c r="CF16" s="152"/>
      <c r="CG16" s="152"/>
    </row>
    <row r="17" spans="3:85" s="127" customFormat="1" ht="18.600000000000001" thickBot="1" x14ac:dyDescent="0.4">
      <c r="C17" s="130" t="s">
        <v>108</v>
      </c>
      <c r="D17" s="169" t="s">
        <v>136</v>
      </c>
      <c r="E17" s="169" t="s">
        <v>56</v>
      </c>
      <c r="F17" s="235" t="s">
        <v>29</v>
      </c>
      <c r="G17" s="235"/>
      <c r="H17" s="241"/>
      <c r="I17" s="169" t="s">
        <v>7</v>
      </c>
      <c r="J17" s="169" t="s">
        <v>137</v>
      </c>
      <c r="K17" s="169" t="s">
        <v>10</v>
      </c>
      <c r="L17" s="168" t="s">
        <v>66</v>
      </c>
      <c r="M17" s="234" t="s">
        <v>9</v>
      </c>
      <c r="N17" s="235"/>
      <c r="O17" s="235"/>
      <c r="P17" s="236"/>
      <c r="Q17" s="172"/>
      <c r="R17" s="130" t="s">
        <v>109</v>
      </c>
      <c r="S17" s="219" t="s">
        <v>136</v>
      </c>
      <c r="T17" s="219" t="s">
        <v>56</v>
      </c>
      <c r="U17" s="235" t="s">
        <v>29</v>
      </c>
      <c r="V17" s="235"/>
      <c r="W17" s="241"/>
      <c r="X17" s="219" t="s">
        <v>7</v>
      </c>
      <c r="Y17" s="219" t="s">
        <v>137</v>
      </c>
      <c r="Z17" s="219" t="s">
        <v>10</v>
      </c>
      <c r="AA17" s="218" t="s">
        <v>66</v>
      </c>
      <c r="AB17" s="234" t="s">
        <v>9</v>
      </c>
      <c r="AC17" s="235"/>
      <c r="AD17" s="235"/>
      <c r="AE17" s="236"/>
      <c r="AF17" s="172"/>
      <c r="AG17" s="130" t="s">
        <v>110</v>
      </c>
      <c r="AH17" s="219" t="s">
        <v>136</v>
      </c>
      <c r="AI17" s="219" t="s">
        <v>56</v>
      </c>
      <c r="AJ17" s="235" t="s">
        <v>29</v>
      </c>
      <c r="AK17" s="235"/>
      <c r="AL17" s="241"/>
      <c r="AM17" s="219" t="s">
        <v>7</v>
      </c>
      <c r="AN17" s="219" t="s">
        <v>137</v>
      </c>
      <c r="AO17" s="219" t="s">
        <v>10</v>
      </c>
      <c r="AP17" s="218" t="s">
        <v>66</v>
      </c>
      <c r="AQ17" s="234" t="s">
        <v>9</v>
      </c>
      <c r="AR17" s="235"/>
      <c r="AS17" s="235"/>
      <c r="AT17" s="236"/>
      <c r="AU17" s="172"/>
      <c r="AV17" s="130" t="s">
        <v>111</v>
      </c>
      <c r="AW17" s="219" t="s">
        <v>136</v>
      </c>
      <c r="AX17" s="219" t="s">
        <v>56</v>
      </c>
      <c r="AY17" s="235" t="s">
        <v>29</v>
      </c>
      <c r="AZ17" s="235"/>
      <c r="BA17" s="241"/>
      <c r="BB17" s="219" t="s">
        <v>7</v>
      </c>
      <c r="BC17" s="219" t="s">
        <v>137</v>
      </c>
      <c r="BD17" s="219" t="s">
        <v>10</v>
      </c>
      <c r="BE17" s="218" t="s">
        <v>66</v>
      </c>
      <c r="BF17" s="234" t="s">
        <v>9</v>
      </c>
      <c r="BG17" s="235"/>
      <c r="BH17" s="235"/>
      <c r="BI17" s="236"/>
      <c r="BJ17" s="29"/>
      <c r="BK17" s="190" t="s">
        <v>112</v>
      </c>
      <c r="BL17" s="219" t="s">
        <v>136</v>
      </c>
      <c r="BM17" s="219" t="s">
        <v>56</v>
      </c>
      <c r="BN17" s="235" t="s">
        <v>29</v>
      </c>
      <c r="BO17" s="235"/>
      <c r="BP17" s="241"/>
      <c r="BQ17" s="219" t="s">
        <v>7</v>
      </c>
      <c r="BR17" s="219" t="s">
        <v>137</v>
      </c>
      <c r="BS17" s="219" t="s">
        <v>10</v>
      </c>
      <c r="BT17" s="218" t="s">
        <v>66</v>
      </c>
      <c r="BU17" s="234" t="s">
        <v>9</v>
      </c>
      <c r="BV17" s="235"/>
      <c r="BW17" s="235"/>
      <c r="BX17" s="236"/>
      <c r="CA17" s="152" t="s">
        <v>82</v>
      </c>
      <c r="CB17" s="152"/>
      <c r="CC17" s="152" t="s">
        <v>17</v>
      </c>
      <c r="CD17" s="152"/>
      <c r="CE17" s="152" t="s">
        <v>81</v>
      </c>
      <c r="CF17" s="152"/>
      <c r="CG17" s="152" t="s">
        <v>83</v>
      </c>
    </row>
    <row r="18" spans="3:85" s="127" customFormat="1" ht="16.2" thickBot="1" x14ac:dyDescent="0.35">
      <c r="C18" s="151" t="s">
        <v>95</v>
      </c>
      <c r="D18" s="8">
        <v>3</v>
      </c>
      <c r="E18" s="8">
        <v>6</v>
      </c>
      <c r="F18" s="33">
        <f>(0.7*D10)-5</f>
        <v>-5</v>
      </c>
      <c r="G18" s="5" t="s">
        <v>3</v>
      </c>
      <c r="H18" s="34">
        <f>(0.7*D10)+5</f>
        <v>5</v>
      </c>
      <c r="I18" s="35">
        <v>6</v>
      </c>
      <c r="J18" s="8" t="s">
        <v>61</v>
      </c>
      <c r="K18" s="8"/>
      <c r="L18" s="185"/>
      <c r="M18" s="237"/>
      <c r="N18" s="238"/>
      <c r="O18" s="238"/>
      <c r="P18" s="239"/>
      <c r="Q18" s="27"/>
      <c r="R18" s="151" t="s">
        <v>97</v>
      </c>
      <c r="S18" s="8">
        <v>3</v>
      </c>
      <c r="T18" s="8">
        <v>8</v>
      </c>
      <c r="U18" s="36">
        <f>(0.64*F10)-5</f>
        <v>-5</v>
      </c>
      <c r="V18" s="5" t="s">
        <v>3</v>
      </c>
      <c r="W18" s="34">
        <f>(0.64*F10)+5</f>
        <v>5</v>
      </c>
      <c r="X18" s="35">
        <v>6</v>
      </c>
      <c r="Y18" s="8" t="s">
        <v>62</v>
      </c>
      <c r="Z18" s="8"/>
      <c r="AA18" s="185"/>
      <c r="AB18" s="237"/>
      <c r="AC18" s="238"/>
      <c r="AD18" s="238"/>
      <c r="AE18" s="239"/>
      <c r="AF18" s="27"/>
      <c r="AG18" s="151" t="s">
        <v>98</v>
      </c>
      <c r="AH18" s="8">
        <v>3</v>
      </c>
      <c r="AI18" s="8">
        <v>5</v>
      </c>
      <c r="AJ18" s="33">
        <f>(0.74*H10)-5</f>
        <v>-5</v>
      </c>
      <c r="AK18" s="5" t="s">
        <v>3</v>
      </c>
      <c r="AL18" s="34">
        <f>(0.74*H10)+5</f>
        <v>5</v>
      </c>
      <c r="AM18" s="35">
        <v>6</v>
      </c>
      <c r="AN18" s="8" t="s">
        <v>40</v>
      </c>
      <c r="AO18" s="8"/>
      <c r="AP18" s="185"/>
      <c r="AQ18" s="237"/>
      <c r="AR18" s="238"/>
      <c r="AS18" s="238"/>
      <c r="AT18" s="239"/>
      <c r="AU18" s="27"/>
      <c r="AV18" s="151" t="s">
        <v>99</v>
      </c>
      <c r="AW18" s="8">
        <v>3</v>
      </c>
      <c r="AX18" s="8">
        <v>7</v>
      </c>
      <c r="AY18" s="33">
        <f>(0.68*D13)-5</f>
        <v>-5</v>
      </c>
      <c r="AZ18" s="5" t="s">
        <v>3</v>
      </c>
      <c r="BA18" s="34">
        <f>(0.68*D13)+5</f>
        <v>5</v>
      </c>
      <c r="BB18" s="35" t="s">
        <v>31</v>
      </c>
      <c r="BC18" s="8" t="s">
        <v>63</v>
      </c>
      <c r="BD18" s="8"/>
      <c r="BE18" s="185"/>
      <c r="BF18" s="237"/>
      <c r="BG18" s="238"/>
      <c r="BH18" s="238"/>
      <c r="BI18" s="239"/>
      <c r="BJ18" s="28"/>
      <c r="BK18" s="193" t="s">
        <v>97</v>
      </c>
      <c r="BL18" s="8">
        <v>3</v>
      </c>
      <c r="BM18" s="8">
        <v>5</v>
      </c>
      <c r="BN18" s="33">
        <f>(0.74*F10)-5</f>
        <v>-5</v>
      </c>
      <c r="BO18" s="5" t="s">
        <v>3</v>
      </c>
      <c r="BP18" s="34">
        <f>(0.74*F10)+5</f>
        <v>5</v>
      </c>
      <c r="BQ18" s="35" t="s">
        <v>31</v>
      </c>
      <c r="BR18" s="8" t="s">
        <v>62</v>
      </c>
      <c r="BS18" s="8"/>
      <c r="BT18" s="185"/>
      <c r="BU18" s="237"/>
      <c r="BV18" s="238"/>
      <c r="BW18" s="238"/>
      <c r="BX18" s="240"/>
      <c r="CA18" s="152" t="s">
        <v>74</v>
      </c>
      <c r="CB18" s="152"/>
      <c r="CC18" s="152" t="s">
        <v>18</v>
      </c>
      <c r="CD18" s="152"/>
      <c r="CE18" s="152" t="s">
        <v>84</v>
      </c>
      <c r="CF18" s="152"/>
      <c r="CG18" s="152" t="s">
        <v>87</v>
      </c>
    </row>
    <row r="19" spans="3:85" s="127" customFormat="1" ht="16.2" thickBot="1" x14ac:dyDescent="0.35">
      <c r="C19" s="53" t="s">
        <v>82</v>
      </c>
      <c r="D19" s="10">
        <v>2</v>
      </c>
      <c r="E19" s="10">
        <v>4</v>
      </c>
      <c r="F19" s="48">
        <f>IF(C30="2ct. WK-Kniebeuge",(D11*0.75)-5,(D12*0.75)-5)</f>
        <v>-5</v>
      </c>
      <c r="G19" s="4" t="s">
        <v>3</v>
      </c>
      <c r="H19" s="39">
        <f>IF(C30="2ct. WK-Kniebeuge",(D11*0.75)+5,(D12*0.75)+5)</f>
        <v>5</v>
      </c>
      <c r="I19" s="32">
        <v>6</v>
      </c>
      <c r="J19" s="10" t="s">
        <v>61</v>
      </c>
      <c r="K19" s="10"/>
      <c r="L19" s="186"/>
      <c r="M19" s="230" t="s">
        <v>32</v>
      </c>
      <c r="N19" s="231"/>
      <c r="O19" s="231"/>
      <c r="P19" s="232"/>
      <c r="Q19" s="27"/>
      <c r="R19" s="53" t="s">
        <v>17</v>
      </c>
      <c r="S19" s="10">
        <v>3</v>
      </c>
      <c r="T19" s="32">
        <v>8</v>
      </c>
      <c r="U19" s="37"/>
      <c r="V19" s="4" t="s">
        <v>3</v>
      </c>
      <c r="W19" s="39"/>
      <c r="X19" s="32" t="s">
        <v>31</v>
      </c>
      <c r="Y19" s="10"/>
      <c r="Z19" s="10"/>
      <c r="AA19" s="186"/>
      <c r="AB19" s="230"/>
      <c r="AC19" s="231"/>
      <c r="AD19" s="231"/>
      <c r="AE19" s="232"/>
      <c r="AF19" s="27"/>
      <c r="AG19" s="53" t="s">
        <v>81</v>
      </c>
      <c r="AH19" s="10">
        <v>2</v>
      </c>
      <c r="AI19" s="10">
        <v>3</v>
      </c>
      <c r="AJ19" s="48">
        <f>IF(AG30="3ct. WK-Bankdrücken",(F11*0.76)-5,(F12*0.76)-5)</f>
        <v>-5</v>
      </c>
      <c r="AK19" s="4" t="s">
        <v>3</v>
      </c>
      <c r="AL19" s="39">
        <f>IF(AG30="3ct. WK-Bankdrücken",(F11*0.76)+5,(F12*0.76)+5)</f>
        <v>5</v>
      </c>
      <c r="AM19" s="32">
        <v>6</v>
      </c>
      <c r="AN19" s="10" t="s">
        <v>62</v>
      </c>
      <c r="AO19" s="10"/>
      <c r="AP19" s="186"/>
      <c r="AQ19" s="230"/>
      <c r="AR19" s="231"/>
      <c r="AS19" s="231"/>
      <c r="AT19" s="232"/>
      <c r="AU19" s="27"/>
      <c r="AV19" s="53" t="s">
        <v>83</v>
      </c>
      <c r="AW19" s="10">
        <v>2</v>
      </c>
      <c r="AX19" s="10">
        <f>IF(AV19="Kreuzheben im Reißgriff",6,8)</f>
        <v>8</v>
      </c>
      <c r="AY19" s="173"/>
      <c r="AZ19" s="4" t="s">
        <v>3</v>
      </c>
      <c r="BA19" s="174"/>
      <c r="BB19" s="32" t="s">
        <v>31</v>
      </c>
      <c r="BC19" s="10" t="s">
        <v>58</v>
      </c>
      <c r="BD19" s="10"/>
      <c r="BE19" s="186"/>
      <c r="BF19" s="230"/>
      <c r="BG19" s="231"/>
      <c r="BH19" s="231"/>
      <c r="BI19" s="232"/>
      <c r="BJ19" s="28"/>
      <c r="BK19" s="194" t="s">
        <v>100</v>
      </c>
      <c r="BL19" s="10">
        <v>2</v>
      </c>
      <c r="BM19" s="10">
        <v>7</v>
      </c>
      <c r="BN19" s="48">
        <f>(0.69*F13)-5</f>
        <v>-5</v>
      </c>
      <c r="BO19" s="4" t="s">
        <v>3</v>
      </c>
      <c r="BP19" s="39">
        <f>(0.69*F13)+5</f>
        <v>5</v>
      </c>
      <c r="BQ19" s="32">
        <v>6</v>
      </c>
      <c r="BR19" s="10" t="s">
        <v>62</v>
      </c>
      <c r="BS19" s="10"/>
      <c r="BT19" s="186"/>
      <c r="BU19" s="230"/>
      <c r="BV19" s="231"/>
      <c r="BW19" s="231"/>
      <c r="BX19" s="233"/>
      <c r="CA19" s="152" t="s">
        <v>75</v>
      </c>
      <c r="CB19" s="152"/>
      <c r="CC19" s="152" t="s">
        <v>19</v>
      </c>
      <c r="CD19" s="152"/>
      <c r="CE19" s="152" t="s">
        <v>85</v>
      </c>
      <c r="CF19" s="152"/>
      <c r="CG19" s="152" t="s">
        <v>88</v>
      </c>
    </row>
    <row r="20" spans="3:85" s="127" customFormat="1" ht="16.2" thickBot="1" x14ac:dyDescent="0.35">
      <c r="C20" s="52" t="s">
        <v>71</v>
      </c>
      <c r="D20" s="8">
        <v>3</v>
      </c>
      <c r="E20" s="31" t="s">
        <v>105</v>
      </c>
      <c r="F20" s="33"/>
      <c r="G20" s="5" t="s">
        <v>3</v>
      </c>
      <c r="H20" s="34"/>
      <c r="I20" s="31" t="s">
        <v>31</v>
      </c>
      <c r="J20" s="8"/>
      <c r="K20" s="8"/>
      <c r="L20" s="185"/>
      <c r="M20" s="226"/>
      <c r="N20" s="227"/>
      <c r="O20" s="227"/>
      <c r="P20" s="228"/>
      <c r="Q20" s="27"/>
      <c r="R20" s="52" t="s">
        <v>76</v>
      </c>
      <c r="S20" s="8">
        <v>2</v>
      </c>
      <c r="T20" s="8">
        <f>IF(OR(R20="Dips",R20="LH Schulterdrücken"),5,8)</f>
        <v>8</v>
      </c>
      <c r="U20" s="36"/>
      <c r="V20" s="5" t="s">
        <v>3</v>
      </c>
      <c r="W20" s="34"/>
      <c r="X20" s="35" t="s">
        <v>31</v>
      </c>
      <c r="Y20" s="8"/>
      <c r="Z20" s="8"/>
      <c r="AA20" s="185"/>
      <c r="AB20" s="226"/>
      <c r="AC20" s="227"/>
      <c r="AD20" s="227"/>
      <c r="AE20" s="228"/>
      <c r="AF20" s="27"/>
      <c r="AG20" s="52" t="s">
        <v>86</v>
      </c>
      <c r="AH20" s="8">
        <v>2</v>
      </c>
      <c r="AI20" s="8">
        <v>10</v>
      </c>
      <c r="AJ20" s="33"/>
      <c r="AK20" s="5" t="s">
        <v>3</v>
      </c>
      <c r="AL20" s="34"/>
      <c r="AM20" s="35" t="s">
        <v>31</v>
      </c>
      <c r="AN20" s="8"/>
      <c r="AO20" s="8"/>
      <c r="AP20" s="185"/>
      <c r="AQ20" s="226"/>
      <c r="AR20" s="227"/>
      <c r="AS20" s="227"/>
      <c r="AT20" s="228"/>
      <c r="AU20" s="27"/>
      <c r="AV20" s="52" t="s">
        <v>17</v>
      </c>
      <c r="AW20" s="8">
        <v>3</v>
      </c>
      <c r="AX20" s="35">
        <v>10</v>
      </c>
      <c r="AY20" s="170"/>
      <c r="AZ20" s="5" t="s">
        <v>3</v>
      </c>
      <c r="BA20" s="171"/>
      <c r="BB20" s="35" t="s">
        <v>31</v>
      </c>
      <c r="BC20" s="8"/>
      <c r="BD20" s="8"/>
      <c r="BE20" s="185"/>
      <c r="BF20" s="226"/>
      <c r="BG20" s="227"/>
      <c r="BH20" s="227"/>
      <c r="BI20" s="228"/>
      <c r="BJ20" s="28"/>
      <c r="BK20" s="195" t="s">
        <v>76</v>
      </c>
      <c r="BL20" s="8">
        <v>2</v>
      </c>
      <c r="BM20" s="8" t="str">
        <f>IF(OR(BK20="Dips",BK20="Military Press"),"6","10")</f>
        <v>10</v>
      </c>
      <c r="BN20" s="33"/>
      <c r="BO20" s="5" t="s">
        <v>3</v>
      </c>
      <c r="BP20" s="34"/>
      <c r="BQ20" s="35">
        <v>7</v>
      </c>
      <c r="BR20" s="8"/>
      <c r="BS20" s="8"/>
      <c r="BT20" s="185"/>
      <c r="BU20" s="226"/>
      <c r="BV20" s="227"/>
      <c r="BW20" s="227"/>
      <c r="BX20" s="229"/>
      <c r="CA20" s="152" t="s">
        <v>71</v>
      </c>
      <c r="CB20" s="152"/>
      <c r="CC20" s="152" t="s">
        <v>76</v>
      </c>
      <c r="CD20" s="152"/>
      <c r="CE20" s="152" t="s">
        <v>86</v>
      </c>
      <c r="CF20" s="152"/>
      <c r="CG20" s="152" t="s">
        <v>89</v>
      </c>
    </row>
    <row r="21" spans="3:85" s="127" customFormat="1" ht="16.2" thickBot="1" x14ac:dyDescent="0.35">
      <c r="C21" s="53" t="s">
        <v>1</v>
      </c>
      <c r="D21" s="10">
        <v>2</v>
      </c>
      <c r="E21" s="32">
        <v>10</v>
      </c>
      <c r="F21" s="48"/>
      <c r="G21" s="4" t="s">
        <v>3</v>
      </c>
      <c r="H21" s="39"/>
      <c r="I21" s="32" t="s">
        <v>31</v>
      </c>
      <c r="J21" s="10"/>
      <c r="K21" s="10"/>
      <c r="L21" s="186"/>
      <c r="M21" s="230"/>
      <c r="N21" s="231"/>
      <c r="O21" s="231"/>
      <c r="P21" s="232"/>
      <c r="Q21" s="27"/>
      <c r="R21" s="53" t="s">
        <v>92</v>
      </c>
      <c r="S21" s="10">
        <v>2</v>
      </c>
      <c r="T21" s="32">
        <v>10</v>
      </c>
      <c r="U21" s="37"/>
      <c r="V21" s="4" t="s">
        <v>3</v>
      </c>
      <c r="W21" s="39"/>
      <c r="X21" s="32" t="s">
        <v>31</v>
      </c>
      <c r="Y21" s="10"/>
      <c r="Z21" s="10"/>
      <c r="AA21" s="186"/>
      <c r="AB21" s="230"/>
      <c r="AC21" s="231"/>
      <c r="AD21" s="231"/>
      <c r="AE21" s="232"/>
      <c r="AF21" s="27"/>
      <c r="AG21" s="9" t="s">
        <v>21</v>
      </c>
      <c r="AH21" s="32">
        <v>2</v>
      </c>
      <c r="AI21" s="32">
        <v>8</v>
      </c>
      <c r="AJ21" s="48"/>
      <c r="AK21" s="4" t="s">
        <v>3</v>
      </c>
      <c r="AL21" s="39"/>
      <c r="AM21" s="32" t="s">
        <v>31</v>
      </c>
      <c r="AN21" s="10"/>
      <c r="AO21" s="10"/>
      <c r="AP21" s="186"/>
      <c r="AQ21" s="230"/>
      <c r="AR21" s="231"/>
      <c r="AS21" s="231"/>
      <c r="AT21" s="232"/>
      <c r="AU21" s="27"/>
      <c r="AV21" s="9" t="s">
        <v>26</v>
      </c>
      <c r="AW21" s="10">
        <v>2</v>
      </c>
      <c r="AX21" s="10">
        <v>8</v>
      </c>
      <c r="AY21" s="173"/>
      <c r="AZ21" s="4" t="s">
        <v>3</v>
      </c>
      <c r="BA21" s="174"/>
      <c r="BB21" s="32" t="s">
        <v>31</v>
      </c>
      <c r="BC21" s="10"/>
      <c r="BD21" s="10"/>
      <c r="BE21" s="186"/>
      <c r="BF21" s="230"/>
      <c r="BG21" s="231"/>
      <c r="BH21" s="231"/>
      <c r="BI21" s="232"/>
      <c r="BJ21" s="28"/>
      <c r="BK21" s="196" t="s">
        <v>71</v>
      </c>
      <c r="BL21" s="10">
        <v>3</v>
      </c>
      <c r="BM21" s="10" t="str">
        <f>IF(OR(BK21="Pendlay Rudern"),"6","10")</f>
        <v>10</v>
      </c>
      <c r="BN21" s="48"/>
      <c r="BO21" s="4" t="s">
        <v>3</v>
      </c>
      <c r="BP21" s="39"/>
      <c r="BQ21" s="32">
        <v>7</v>
      </c>
      <c r="BR21" s="10"/>
      <c r="BS21" s="10"/>
      <c r="BT21" s="186"/>
      <c r="BU21" s="230"/>
      <c r="BV21" s="231"/>
      <c r="BW21" s="231"/>
      <c r="BX21" s="233"/>
      <c r="CA21" s="152" t="s">
        <v>59</v>
      </c>
      <c r="CB21" s="152"/>
      <c r="CC21" s="152" t="s">
        <v>0</v>
      </c>
      <c r="CD21" s="152"/>
      <c r="CE21" s="152" t="s">
        <v>25</v>
      </c>
      <c r="CF21" s="152"/>
      <c r="CG21" s="152" t="s">
        <v>17</v>
      </c>
    </row>
    <row r="22" spans="3:85" s="127" customFormat="1" ht="16.2" thickBot="1" x14ac:dyDescent="0.35">
      <c r="C22" s="151" t="s">
        <v>96</v>
      </c>
      <c r="D22" s="8"/>
      <c r="E22" s="8"/>
      <c r="F22" s="33"/>
      <c r="G22" s="5" t="s">
        <v>3</v>
      </c>
      <c r="H22" s="34"/>
      <c r="I22" s="8"/>
      <c r="J22" s="8"/>
      <c r="K22" s="8"/>
      <c r="L22" s="185"/>
      <c r="M22" s="226"/>
      <c r="N22" s="227"/>
      <c r="O22" s="227"/>
      <c r="P22" s="228"/>
      <c r="Q22" s="27"/>
      <c r="R22" s="151"/>
      <c r="S22" s="8"/>
      <c r="T22" s="8"/>
      <c r="U22" s="36"/>
      <c r="V22" s="5" t="s">
        <v>3</v>
      </c>
      <c r="W22" s="34"/>
      <c r="X22" s="8"/>
      <c r="Y22" s="8"/>
      <c r="Z22" s="8"/>
      <c r="AA22" s="185"/>
      <c r="AB22" s="226"/>
      <c r="AC22" s="227"/>
      <c r="AD22" s="227"/>
      <c r="AE22" s="228"/>
      <c r="AF22" s="27"/>
      <c r="AG22" s="151" t="s">
        <v>22</v>
      </c>
      <c r="AH22" s="35">
        <v>2</v>
      </c>
      <c r="AI22" s="35">
        <v>8</v>
      </c>
      <c r="AJ22" s="33"/>
      <c r="AK22" s="5" t="s">
        <v>3</v>
      </c>
      <c r="AL22" s="34"/>
      <c r="AM22" s="35" t="s">
        <v>31</v>
      </c>
      <c r="AN22" s="8"/>
      <c r="AO22" s="8"/>
      <c r="AP22" s="185"/>
      <c r="AQ22" s="226"/>
      <c r="AR22" s="227"/>
      <c r="AS22" s="227"/>
      <c r="AT22" s="228"/>
      <c r="AU22" s="27"/>
      <c r="AV22" s="151" t="s">
        <v>96</v>
      </c>
      <c r="AW22" s="8">
        <v>2</v>
      </c>
      <c r="AX22" s="8"/>
      <c r="AY22" s="170"/>
      <c r="AZ22" s="5" t="s">
        <v>3</v>
      </c>
      <c r="BA22" s="171"/>
      <c r="BB22" s="35" t="s">
        <v>31</v>
      </c>
      <c r="BC22" s="8"/>
      <c r="BD22" s="8"/>
      <c r="BE22" s="185"/>
      <c r="BF22" s="226"/>
      <c r="BG22" s="227"/>
      <c r="BH22" s="227"/>
      <c r="BI22" s="228"/>
      <c r="BJ22" s="28"/>
      <c r="BK22" s="195" t="s">
        <v>92</v>
      </c>
      <c r="BL22" s="8">
        <v>3</v>
      </c>
      <c r="BM22" s="35">
        <v>10</v>
      </c>
      <c r="BN22" s="33"/>
      <c r="BO22" s="5" t="s">
        <v>3</v>
      </c>
      <c r="BP22" s="34"/>
      <c r="BQ22" s="35">
        <v>7</v>
      </c>
      <c r="BR22" s="8"/>
      <c r="BS22" s="8"/>
      <c r="BT22" s="185"/>
      <c r="BU22" s="226"/>
      <c r="BV22" s="227"/>
      <c r="BW22" s="227"/>
      <c r="BX22" s="229"/>
      <c r="CA22" s="152" t="s">
        <v>60</v>
      </c>
      <c r="CB22" s="152"/>
      <c r="CC22" s="152" t="s">
        <v>77</v>
      </c>
      <c r="CD22" s="152"/>
      <c r="CE22" s="152" t="s">
        <v>23</v>
      </c>
      <c r="CF22" s="152"/>
      <c r="CG22" s="152" t="s">
        <v>27</v>
      </c>
    </row>
    <row r="23" spans="3:85" s="127" customFormat="1" ht="15.6" x14ac:dyDescent="0.3">
      <c r="C23" s="9"/>
      <c r="D23" s="10"/>
      <c r="E23" s="10"/>
      <c r="F23" s="48"/>
      <c r="G23" s="4" t="s">
        <v>3</v>
      </c>
      <c r="H23" s="39"/>
      <c r="I23" s="10"/>
      <c r="J23" s="10"/>
      <c r="K23" s="10"/>
      <c r="L23" s="186"/>
      <c r="M23" s="230"/>
      <c r="N23" s="231"/>
      <c r="O23" s="231"/>
      <c r="P23" s="232"/>
      <c r="Q23" s="27"/>
      <c r="R23" s="9"/>
      <c r="S23" s="10"/>
      <c r="T23" s="10"/>
      <c r="U23" s="37"/>
      <c r="V23" s="4" t="s">
        <v>3</v>
      </c>
      <c r="W23" s="39"/>
      <c r="X23" s="10"/>
      <c r="Y23" s="10"/>
      <c r="Z23" s="10"/>
      <c r="AA23" s="186"/>
      <c r="AB23" s="230"/>
      <c r="AC23" s="231"/>
      <c r="AD23" s="231"/>
      <c r="AE23" s="232"/>
      <c r="AF23" s="27"/>
      <c r="AG23" s="9"/>
      <c r="AH23" s="10"/>
      <c r="AI23" s="10"/>
      <c r="AJ23" s="48"/>
      <c r="AK23" s="4" t="s">
        <v>3</v>
      </c>
      <c r="AL23" s="39"/>
      <c r="AM23" s="10"/>
      <c r="AN23" s="10"/>
      <c r="AO23" s="10"/>
      <c r="AP23" s="186"/>
      <c r="AQ23" s="230"/>
      <c r="AR23" s="231"/>
      <c r="AS23" s="231"/>
      <c r="AT23" s="232"/>
      <c r="AU23" s="27"/>
      <c r="AV23" s="9"/>
      <c r="AW23" s="10"/>
      <c r="AX23" s="10"/>
      <c r="AY23" s="173"/>
      <c r="AZ23" s="4" t="s">
        <v>3</v>
      </c>
      <c r="BA23" s="174"/>
      <c r="BB23" s="10"/>
      <c r="BC23" s="10"/>
      <c r="BD23" s="10"/>
      <c r="BE23" s="186"/>
      <c r="BF23" s="230"/>
      <c r="BG23" s="231"/>
      <c r="BH23" s="231"/>
      <c r="BI23" s="232"/>
      <c r="BJ23" s="28"/>
      <c r="BK23" s="194"/>
      <c r="BL23" s="10"/>
      <c r="BM23" s="10"/>
      <c r="BN23" s="48"/>
      <c r="BO23" s="4" t="s">
        <v>3</v>
      </c>
      <c r="BP23" s="39"/>
      <c r="BQ23" s="10"/>
      <c r="BR23" s="10"/>
      <c r="BS23" s="10"/>
      <c r="BT23" s="186"/>
      <c r="BU23" s="230"/>
      <c r="BV23" s="231"/>
      <c r="BW23" s="231"/>
      <c r="BX23" s="233"/>
      <c r="CA23" s="152" t="s">
        <v>72</v>
      </c>
      <c r="CB23" s="152"/>
      <c r="CC23" s="152" t="s">
        <v>78</v>
      </c>
      <c r="CD23" s="152"/>
      <c r="CE23" s="152" t="s">
        <v>24</v>
      </c>
      <c r="CF23" s="152"/>
      <c r="CG23" s="152" t="s">
        <v>18</v>
      </c>
    </row>
    <row r="24" spans="3:85" s="127" customFormat="1" ht="16.2" thickBot="1" x14ac:dyDescent="0.35">
      <c r="C24" s="11"/>
      <c r="D24" s="12"/>
      <c r="E24" s="12"/>
      <c r="F24" s="49"/>
      <c r="G24" s="6" t="s">
        <v>3</v>
      </c>
      <c r="H24" s="40"/>
      <c r="I24" s="12"/>
      <c r="J24" s="12"/>
      <c r="K24" s="12"/>
      <c r="L24" s="187"/>
      <c r="M24" s="220"/>
      <c r="N24" s="221"/>
      <c r="O24" s="221"/>
      <c r="P24" s="222"/>
      <c r="Q24" s="27"/>
      <c r="R24" s="11"/>
      <c r="S24" s="12"/>
      <c r="T24" s="12"/>
      <c r="U24" s="38"/>
      <c r="V24" s="6" t="s">
        <v>3</v>
      </c>
      <c r="W24" s="40"/>
      <c r="X24" s="12"/>
      <c r="Y24" s="12"/>
      <c r="Z24" s="12"/>
      <c r="AA24" s="187"/>
      <c r="AB24" s="220"/>
      <c r="AC24" s="221"/>
      <c r="AD24" s="221"/>
      <c r="AE24" s="222"/>
      <c r="AF24" s="27"/>
      <c r="AG24" s="11"/>
      <c r="AH24" s="12"/>
      <c r="AI24" s="12"/>
      <c r="AJ24" s="49"/>
      <c r="AK24" s="6" t="s">
        <v>3</v>
      </c>
      <c r="AL24" s="40"/>
      <c r="AM24" s="12"/>
      <c r="AN24" s="12"/>
      <c r="AO24" s="12"/>
      <c r="AP24" s="187"/>
      <c r="AQ24" s="220"/>
      <c r="AR24" s="221"/>
      <c r="AS24" s="221"/>
      <c r="AT24" s="222"/>
      <c r="AU24" s="27"/>
      <c r="AV24" s="11"/>
      <c r="AW24" s="12"/>
      <c r="AX24" s="12"/>
      <c r="AY24" s="75"/>
      <c r="AZ24" s="6" t="s">
        <v>3</v>
      </c>
      <c r="BA24" s="77"/>
      <c r="BB24" s="12"/>
      <c r="BC24" s="12"/>
      <c r="BD24" s="12"/>
      <c r="BE24" s="187"/>
      <c r="BF24" s="220"/>
      <c r="BG24" s="221"/>
      <c r="BH24" s="221"/>
      <c r="BI24" s="222"/>
      <c r="BJ24" s="28"/>
      <c r="BK24" s="197"/>
      <c r="BL24" s="198"/>
      <c r="BM24" s="198"/>
      <c r="BN24" s="199"/>
      <c r="BO24" s="200" t="s">
        <v>3</v>
      </c>
      <c r="BP24" s="201"/>
      <c r="BQ24" s="198"/>
      <c r="BR24" s="198"/>
      <c r="BS24" s="198"/>
      <c r="BT24" s="202"/>
      <c r="BU24" s="223"/>
      <c r="BV24" s="224"/>
      <c r="BW24" s="224"/>
      <c r="BX24" s="225"/>
      <c r="CA24" s="152" t="s">
        <v>73</v>
      </c>
      <c r="CB24" s="152"/>
      <c r="CC24" s="152" t="s">
        <v>79</v>
      </c>
      <c r="CD24" s="152"/>
      <c r="CE24" s="152"/>
      <c r="CF24" s="152"/>
      <c r="CG24" s="152" t="s">
        <v>19</v>
      </c>
    </row>
    <row r="25" spans="3:85" s="127" customFormat="1" x14ac:dyDescent="0.3">
      <c r="F25" s="46"/>
      <c r="H25" s="51"/>
      <c r="Q25" s="25"/>
      <c r="R25" s="25"/>
      <c r="S25" s="25"/>
      <c r="T25" s="25"/>
      <c r="U25" s="73"/>
      <c r="V25" s="25"/>
      <c r="W25" s="73"/>
      <c r="X25" s="25"/>
      <c r="Y25" s="25"/>
      <c r="Z25" s="25"/>
      <c r="AB25" s="25"/>
      <c r="AC25" s="25"/>
      <c r="AD25" s="25"/>
      <c r="AE25" s="25"/>
      <c r="AF25" s="25"/>
      <c r="AG25" s="25"/>
      <c r="AH25" s="25"/>
      <c r="AI25" s="25"/>
      <c r="AJ25" s="54"/>
      <c r="AK25" s="25"/>
      <c r="AL25" s="55"/>
      <c r="AM25" s="25"/>
      <c r="AN25" s="25"/>
      <c r="AO25" s="25"/>
      <c r="AQ25" s="25"/>
      <c r="AR25" s="25"/>
      <c r="AS25" s="25"/>
      <c r="AT25" s="25"/>
      <c r="AU25" s="25"/>
      <c r="AV25" s="25"/>
      <c r="AW25" s="25"/>
      <c r="AX25" s="25"/>
      <c r="AY25" s="73"/>
      <c r="AZ25" s="25"/>
      <c r="BA25" s="73"/>
      <c r="BB25" s="25"/>
      <c r="BC25" s="25"/>
      <c r="BD25" s="25"/>
      <c r="BF25" s="25"/>
      <c r="BG25" s="25"/>
      <c r="BH25" s="25"/>
      <c r="BI25" s="25"/>
      <c r="BJ25" s="25"/>
      <c r="BK25" s="25"/>
      <c r="BL25" s="25"/>
      <c r="BM25" s="25"/>
      <c r="BN25" s="54"/>
      <c r="BO25" s="25"/>
      <c r="BP25" s="55"/>
      <c r="BQ25" s="25"/>
      <c r="BR25" s="25"/>
      <c r="CA25" s="152" t="s">
        <v>1</v>
      </c>
      <c r="CB25" s="152"/>
      <c r="CC25" s="152" t="s">
        <v>80</v>
      </c>
      <c r="CD25" s="152"/>
      <c r="CE25" s="152"/>
      <c r="CF25" s="152"/>
      <c r="CG25" s="152"/>
    </row>
    <row r="26" spans="3:85" s="127" customFormat="1" ht="15" thickBot="1" x14ac:dyDescent="0.35">
      <c r="F26" s="46"/>
      <c r="H26" s="51"/>
      <c r="Q26" s="25"/>
      <c r="R26" s="25"/>
      <c r="S26" s="25"/>
      <c r="T26" s="25"/>
      <c r="U26" s="73"/>
      <c r="V26" s="25"/>
      <c r="W26" s="73"/>
      <c r="X26" s="25"/>
      <c r="Y26" s="25"/>
      <c r="Z26" s="25"/>
      <c r="AB26" s="25"/>
      <c r="AC26" s="25"/>
      <c r="AD26" s="25"/>
      <c r="AE26" s="25"/>
      <c r="AF26" s="25"/>
      <c r="AG26" s="25"/>
      <c r="AH26" s="25"/>
      <c r="AI26" s="25"/>
      <c r="AJ26" s="54"/>
      <c r="AK26" s="25"/>
      <c r="AL26" s="55"/>
      <c r="AM26" s="25"/>
      <c r="AN26" s="25"/>
      <c r="AO26" s="25"/>
      <c r="AQ26" s="25"/>
      <c r="AR26" s="25"/>
      <c r="AS26" s="25"/>
      <c r="AT26" s="25"/>
      <c r="AU26" s="25"/>
      <c r="AV26" s="25"/>
      <c r="AW26" s="25"/>
      <c r="AX26" s="25"/>
      <c r="AY26" s="73"/>
      <c r="AZ26" s="25"/>
      <c r="BA26" s="73"/>
      <c r="BB26" s="25"/>
      <c r="BC26" s="25"/>
      <c r="BD26" s="25"/>
      <c r="BF26" s="25"/>
      <c r="BG26" s="25"/>
      <c r="BH26" s="25"/>
      <c r="BI26" s="25"/>
      <c r="BJ26" s="25"/>
      <c r="BK26" s="25"/>
      <c r="BL26" s="25"/>
      <c r="BM26" s="25"/>
      <c r="BN26" s="54"/>
      <c r="BO26" s="25"/>
      <c r="BP26" s="55"/>
      <c r="BQ26" s="25"/>
      <c r="BR26" s="25"/>
      <c r="CA26" s="152" t="s">
        <v>15</v>
      </c>
      <c r="CB26" s="152"/>
      <c r="CC26" s="152" t="s">
        <v>92</v>
      </c>
      <c r="CD26" s="152"/>
      <c r="CE26" s="152"/>
      <c r="CF26" s="152"/>
      <c r="CG26" s="152"/>
    </row>
    <row r="27" spans="3:85" ht="24" thickBot="1" x14ac:dyDescent="0.35">
      <c r="C27" s="102" t="s">
        <v>11</v>
      </c>
      <c r="D27" s="1"/>
      <c r="E27" s="1"/>
      <c r="F27" s="47"/>
      <c r="G27" s="1"/>
      <c r="H27" s="50"/>
      <c r="I27" s="1"/>
      <c r="J27" s="1"/>
      <c r="K27" s="1"/>
      <c r="L27" s="1"/>
      <c r="M27" s="1"/>
      <c r="N27" s="1"/>
      <c r="O27" s="1"/>
      <c r="P27" s="1"/>
      <c r="AA27" s="1"/>
      <c r="AP27" s="1"/>
      <c r="BE27" s="1"/>
      <c r="BT27" s="1"/>
    </row>
    <row r="28" spans="3:85" ht="18.600000000000001" thickBot="1" x14ac:dyDescent="0.4">
      <c r="C28" s="100" t="s">
        <v>106</v>
      </c>
      <c r="D28" s="219" t="s">
        <v>136</v>
      </c>
      <c r="E28" s="219" t="s">
        <v>56</v>
      </c>
      <c r="F28" s="235" t="s">
        <v>29</v>
      </c>
      <c r="G28" s="235"/>
      <c r="H28" s="241"/>
      <c r="I28" s="219" t="s">
        <v>7</v>
      </c>
      <c r="J28" s="219" t="s">
        <v>137</v>
      </c>
      <c r="K28" s="219" t="s">
        <v>10</v>
      </c>
      <c r="L28" s="218" t="s">
        <v>66</v>
      </c>
      <c r="M28" s="234" t="s">
        <v>9</v>
      </c>
      <c r="N28" s="235"/>
      <c r="O28" s="235"/>
      <c r="P28" s="236"/>
      <c r="Q28" s="26"/>
      <c r="R28" s="100" t="s">
        <v>113</v>
      </c>
      <c r="S28" s="219" t="s">
        <v>136</v>
      </c>
      <c r="T28" s="219" t="s">
        <v>56</v>
      </c>
      <c r="U28" s="235" t="s">
        <v>29</v>
      </c>
      <c r="V28" s="235"/>
      <c r="W28" s="241"/>
      <c r="X28" s="219" t="s">
        <v>7</v>
      </c>
      <c r="Y28" s="219" t="s">
        <v>137</v>
      </c>
      <c r="Z28" s="219" t="s">
        <v>10</v>
      </c>
      <c r="AA28" s="218" t="s">
        <v>66</v>
      </c>
      <c r="AB28" s="234" t="s">
        <v>9</v>
      </c>
      <c r="AC28" s="235"/>
      <c r="AD28" s="235"/>
      <c r="AE28" s="236"/>
      <c r="AF28" s="26"/>
      <c r="AG28" s="100" t="s">
        <v>114</v>
      </c>
      <c r="AH28" s="219" t="s">
        <v>136</v>
      </c>
      <c r="AI28" s="219" t="s">
        <v>56</v>
      </c>
      <c r="AJ28" s="235" t="s">
        <v>29</v>
      </c>
      <c r="AK28" s="235"/>
      <c r="AL28" s="241"/>
      <c r="AM28" s="219" t="s">
        <v>7</v>
      </c>
      <c r="AN28" s="219" t="s">
        <v>137</v>
      </c>
      <c r="AO28" s="219" t="s">
        <v>10</v>
      </c>
      <c r="AP28" s="218" t="s">
        <v>66</v>
      </c>
      <c r="AQ28" s="234" t="s">
        <v>9</v>
      </c>
      <c r="AR28" s="235"/>
      <c r="AS28" s="235"/>
      <c r="AT28" s="236"/>
      <c r="AU28" s="26"/>
      <c r="AV28" s="100" t="s">
        <v>115</v>
      </c>
      <c r="AW28" s="219" t="s">
        <v>136</v>
      </c>
      <c r="AX28" s="219" t="s">
        <v>56</v>
      </c>
      <c r="AY28" s="235" t="s">
        <v>29</v>
      </c>
      <c r="AZ28" s="235"/>
      <c r="BA28" s="241"/>
      <c r="BB28" s="219" t="s">
        <v>7</v>
      </c>
      <c r="BC28" s="219" t="s">
        <v>137</v>
      </c>
      <c r="BD28" s="219" t="s">
        <v>10</v>
      </c>
      <c r="BE28" s="218" t="s">
        <v>66</v>
      </c>
      <c r="BF28" s="234" t="s">
        <v>9</v>
      </c>
      <c r="BG28" s="235"/>
      <c r="BH28" s="235"/>
      <c r="BI28" s="236"/>
      <c r="BJ28" s="29"/>
      <c r="BK28" s="190" t="s">
        <v>116</v>
      </c>
      <c r="BL28" s="219" t="s">
        <v>136</v>
      </c>
      <c r="BM28" s="219" t="s">
        <v>56</v>
      </c>
      <c r="BN28" s="235" t="s">
        <v>29</v>
      </c>
      <c r="BO28" s="235"/>
      <c r="BP28" s="241"/>
      <c r="BQ28" s="219" t="s">
        <v>7</v>
      </c>
      <c r="BR28" s="219" t="s">
        <v>137</v>
      </c>
      <c r="BS28" s="219" t="s">
        <v>10</v>
      </c>
      <c r="BT28" s="218" t="s">
        <v>66</v>
      </c>
      <c r="BU28" s="234" t="s">
        <v>9</v>
      </c>
      <c r="BV28" s="235"/>
      <c r="BW28" s="235"/>
      <c r="BX28" s="236"/>
      <c r="CA28" s="152" t="s">
        <v>82</v>
      </c>
      <c r="CC28" s="152" t="s">
        <v>17</v>
      </c>
      <c r="CE28" s="152" t="s">
        <v>81</v>
      </c>
      <c r="CG28" s="152" t="s">
        <v>83</v>
      </c>
    </row>
    <row r="29" spans="3:85" ht="15.6" x14ac:dyDescent="0.3">
      <c r="C29" s="151" t="str">
        <f>C18</f>
        <v>WK-Kniebeuge</v>
      </c>
      <c r="D29" s="8">
        <v>3</v>
      </c>
      <c r="E29" s="8">
        <v>8</v>
      </c>
      <c r="F29" s="33">
        <f>(0.71*D10)-5</f>
        <v>-5</v>
      </c>
      <c r="G29" s="5" t="s">
        <v>3</v>
      </c>
      <c r="H29" s="34">
        <f>(0.71*D10)+5</f>
        <v>5</v>
      </c>
      <c r="I29" s="35" t="s">
        <v>30</v>
      </c>
      <c r="J29" s="8" t="s">
        <v>61</v>
      </c>
      <c r="K29" s="8"/>
      <c r="L29" s="185"/>
      <c r="M29" s="237"/>
      <c r="N29" s="238"/>
      <c r="O29" s="238"/>
      <c r="P29" s="239"/>
      <c r="Q29" s="27"/>
      <c r="R29" s="151" t="str">
        <f>R18</f>
        <v>WK-Bankdrücken</v>
      </c>
      <c r="S29" s="8">
        <v>3</v>
      </c>
      <c r="T29" s="8">
        <v>10</v>
      </c>
      <c r="U29" s="36">
        <f>(0.64*F10)-5</f>
        <v>-5</v>
      </c>
      <c r="V29" s="5" t="s">
        <v>3</v>
      </c>
      <c r="W29" s="34">
        <f>(0.64*F10)+5</f>
        <v>5</v>
      </c>
      <c r="X29" s="35" t="s">
        <v>30</v>
      </c>
      <c r="Y29" s="8" t="s">
        <v>62</v>
      </c>
      <c r="Z29" s="8"/>
      <c r="AA29" s="185"/>
      <c r="AB29" s="237"/>
      <c r="AC29" s="238"/>
      <c r="AD29" s="238"/>
      <c r="AE29" s="239"/>
      <c r="AF29" s="27"/>
      <c r="AG29" s="151" t="str">
        <f>AG18</f>
        <v>WK-Kreuzheben</v>
      </c>
      <c r="AH29" s="8">
        <v>3</v>
      </c>
      <c r="AI29" s="8">
        <v>6</v>
      </c>
      <c r="AJ29" s="33">
        <f>(0.74*H10)-5</f>
        <v>-5</v>
      </c>
      <c r="AK29" s="5" t="s">
        <v>3</v>
      </c>
      <c r="AL29" s="34">
        <f>(0.74*H10)+5</f>
        <v>5</v>
      </c>
      <c r="AM29" s="35" t="s">
        <v>30</v>
      </c>
      <c r="AN29" s="8" t="s">
        <v>40</v>
      </c>
      <c r="AO29" s="8"/>
      <c r="AP29" s="185"/>
      <c r="AQ29" s="237"/>
      <c r="AR29" s="238"/>
      <c r="AS29" s="238"/>
      <c r="AT29" s="239"/>
      <c r="AU29" s="27"/>
      <c r="AV29" s="151" t="str">
        <f>AV18</f>
        <v>Highbar Kniebeuge</v>
      </c>
      <c r="AW29" s="8">
        <v>3</v>
      </c>
      <c r="AX29" s="8">
        <v>9</v>
      </c>
      <c r="AY29" s="33">
        <f>(0.68*D13)-5</f>
        <v>-5</v>
      </c>
      <c r="AZ29" s="5" t="s">
        <v>3</v>
      </c>
      <c r="BA29" s="34">
        <f>(0.68*D13)+5</f>
        <v>5</v>
      </c>
      <c r="BB29" s="35" t="s">
        <v>30</v>
      </c>
      <c r="BC29" s="8" t="s">
        <v>63</v>
      </c>
      <c r="BD29" s="8"/>
      <c r="BE29" s="185"/>
      <c r="BF29" s="237"/>
      <c r="BG29" s="238"/>
      <c r="BH29" s="238"/>
      <c r="BI29" s="239"/>
      <c r="BJ29" s="28"/>
      <c r="BK29" s="193" t="s">
        <v>97</v>
      </c>
      <c r="BL29" s="8">
        <v>3</v>
      </c>
      <c r="BM29" s="8">
        <v>6</v>
      </c>
      <c r="BN29" s="33">
        <f>(0.74*F10)-5</f>
        <v>-5</v>
      </c>
      <c r="BO29" s="5" t="s">
        <v>3</v>
      </c>
      <c r="BP29" s="34">
        <f>(0.74*F10)+5</f>
        <v>5</v>
      </c>
      <c r="BQ29" s="35" t="s">
        <v>30</v>
      </c>
      <c r="BR29" s="8" t="s">
        <v>62</v>
      </c>
      <c r="BS29" s="8"/>
      <c r="BT29" s="185"/>
      <c r="BU29" s="237"/>
      <c r="BV29" s="238"/>
      <c r="BW29" s="238"/>
      <c r="BX29" s="240"/>
      <c r="CA29" s="152" t="s">
        <v>74</v>
      </c>
      <c r="CC29" s="152" t="s">
        <v>18</v>
      </c>
      <c r="CE29" s="152" t="s">
        <v>84</v>
      </c>
      <c r="CG29" s="152" t="s">
        <v>87</v>
      </c>
    </row>
    <row r="30" spans="3:85" ht="15.6" x14ac:dyDescent="0.3">
      <c r="C30" s="9" t="str">
        <f t="shared" ref="C30:C33" si="0">C19</f>
        <v>Kniebeuge - Variation</v>
      </c>
      <c r="D30" s="10">
        <v>3</v>
      </c>
      <c r="E30" s="10">
        <v>5</v>
      </c>
      <c r="F30" s="48">
        <f>IF(C30="2ct. WK-Kniebeuge",(D11*0.76)-5,(D12*0.76)-5)</f>
        <v>-5</v>
      </c>
      <c r="G30" s="4" t="s">
        <v>3</v>
      </c>
      <c r="H30" s="39">
        <f>IF(C30="2ct. WK-Kniebeuge",(D11*0.76)+5,(D12*0.76)+5)</f>
        <v>5</v>
      </c>
      <c r="I30" s="32" t="s">
        <v>31</v>
      </c>
      <c r="J30" s="10" t="s">
        <v>61</v>
      </c>
      <c r="K30" s="10"/>
      <c r="L30" s="186"/>
      <c r="M30" s="230" t="s">
        <v>32</v>
      </c>
      <c r="N30" s="231"/>
      <c r="O30" s="231"/>
      <c r="P30" s="232"/>
      <c r="Q30" s="27"/>
      <c r="R30" s="9" t="str">
        <f t="shared" ref="R30:R32" si="1">R19</f>
        <v>Latzug</v>
      </c>
      <c r="S30" s="10">
        <v>3</v>
      </c>
      <c r="T30" s="32" t="s">
        <v>41</v>
      </c>
      <c r="U30" s="37"/>
      <c r="V30" s="4" t="s">
        <v>3</v>
      </c>
      <c r="W30" s="39"/>
      <c r="X30" s="32" t="s">
        <v>30</v>
      </c>
      <c r="Y30" s="10"/>
      <c r="Z30" s="10"/>
      <c r="AA30" s="186"/>
      <c r="AB30" s="230"/>
      <c r="AC30" s="231"/>
      <c r="AD30" s="231"/>
      <c r="AE30" s="232"/>
      <c r="AF30" s="27"/>
      <c r="AG30" s="9" t="str">
        <f>AG19</f>
        <v>Bankdrücken - Variation</v>
      </c>
      <c r="AH30" s="10">
        <v>2</v>
      </c>
      <c r="AI30" s="10">
        <v>4</v>
      </c>
      <c r="AJ30" s="48">
        <f>IF(AG30="3ct. WK-Bankdrücken",(F11*0.76)-5,(F12*0.76)-5)</f>
        <v>-5</v>
      </c>
      <c r="AK30" s="4" t="s">
        <v>3</v>
      </c>
      <c r="AL30" s="39">
        <f>IF(AG30="3ct. WK-Bankdrücken",(F11*0.76)+5,(F12*0.76)+5)</f>
        <v>5</v>
      </c>
      <c r="AM30" s="32" t="s">
        <v>31</v>
      </c>
      <c r="AN30" s="10" t="s">
        <v>62</v>
      </c>
      <c r="AO30" s="10"/>
      <c r="AP30" s="186"/>
      <c r="AQ30" s="230"/>
      <c r="AR30" s="231"/>
      <c r="AS30" s="231"/>
      <c r="AT30" s="232"/>
      <c r="AU30" s="27"/>
      <c r="AV30" s="9" t="str">
        <f t="shared" ref="AV30:AV33" si="2">AV19</f>
        <v>Kreuzheben - Variation</v>
      </c>
      <c r="AW30" s="10">
        <v>3</v>
      </c>
      <c r="AX30" s="10">
        <f>IF(AV30="Kreuzheben im Reißgriff",8,10)</f>
        <v>10</v>
      </c>
      <c r="AY30" s="74"/>
      <c r="AZ30" s="4" t="s">
        <v>3</v>
      </c>
      <c r="BA30" s="76"/>
      <c r="BB30" s="32" t="s">
        <v>30</v>
      </c>
      <c r="BC30" s="10" t="s">
        <v>58</v>
      </c>
      <c r="BD30" s="10"/>
      <c r="BE30" s="186"/>
      <c r="BF30" s="230"/>
      <c r="BG30" s="231"/>
      <c r="BH30" s="231"/>
      <c r="BI30" s="232"/>
      <c r="BJ30" s="28"/>
      <c r="BK30" s="194" t="s">
        <v>100</v>
      </c>
      <c r="BL30" s="10">
        <v>3</v>
      </c>
      <c r="BM30" s="10">
        <v>8</v>
      </c>
      <c r="BN30" s="48">
        <f>(0.69*F13)-5</f>
        <v>-5</v>
      </c>
      <c r="BO30" s="4" t="s">
        <v>3</v>
      </c>
      <c r="BP30" s="39">
        <f>(0.69*F13)+5</f>
        <v>5</v>
      </c>
      <c r="BQ30" s="32" t="s">
        <v>31</v>
      </c>
      <c r="BR30" s="10" t="s">
        <v>62</v>
      </c>
      <c r="BS30" s="10"/>
      <c r="BT30" s="186"/>
      <c r="BU30" s="230"/>
      <c r="BV30" s="231"/>
      <c r="BW30" s="231"/>
      <c r="BX30" s="233"/>
      <c r="CA30" s="152" t="s">
        <v>75</v>
      </c>
      <c r="CC30" s="152" t="s">
        <v>19</v>
      </c>
      <c r="CE30" s="152" t="s">
        <v>85</v>
      </c>
      <c r="CG30" s="152" t="s">
        <v>88</v>
      </c>
    </row>
    <row r="31" spans="3:85" ht="15.6" x14ac:dyDescent="0.3">
      <c r="C31" s="151" t="str">
        <f t="shared" si="0"/>
        <v>Rudern</v>
      </c>
      <c r="D31" s="8">
        <v>3</v>
      </c>
      <c r="E31" s="31" t="s">
        <v>28</v>
      </c>
      <c r="F31" s="33"/>
      <c r="G31" s="5" t="s">
        <v>3</v>
      </c>
      <c r="H31" s="34"/>
      <c r="I31" s="35" t="s">
        <v>30</v>
      </c>
      <c r="J31" s="8"/>
      <c r="K31" s="8"/>
      <c r="L31" s="185"/>
      <c r="M31" s="226"/>
      <c r="N31" s="227"/>
      <c r="O31" s="227"/>
      <c r="P31" s="228"/>
      <c r="Q31" s="27"/>
      <c r="R31" s="151" t="str">
        <f t="shared" si="1"/>
        <v>Oberkörper Drückbewegung</v>
      </c>
      <c r="S31" s="8">
        <v>3</v>
      </c>
      <c r="T31" s="8">
        <f>IF(OR(R31="Dips",R20="LH Schulterdrücken"),6,10)</f>
        <v>10</v>
      </c>
      <c r="U31" s="36"/>
      <c r="V31" s="5" t="s">
        <v>3</v>
      </c>
      <c r="W31" s="34"/>
      <c r="X31" s="35" t="s">
        <v>30</v>
      </c>
      <c r="Y31" s="8"/>
      <c r="Z31" s="8"/>
      <c r="AA31" s="185"/>
      <c r="AB31" s="226"/>
      <c r="AC31" s="227"/>
      <c r="AD31" s="227"/>
      <c r="AE31" s="228"/>
      <c r="AF31" s="27"/>
      <c r="AG31" s="151" t="str">
        <f>AG20</f>
        <v>Unterkörperübung, unilateral</v>
      </c>
      <c r="AH31" s="8">
        <v>2</v>
      </c>
      <c r="AI31" s="8">
        <v>12</v>
      </c>
      <c r="AJ31" s="33"/>
      <c r="AK31" s="5" t="s">
        <v>3</v>
      </c>
      <c r="AL31" s="34"/>
      <c r="AM31" s="35" t="s">
        <v>30</v>
      </c>
      <c r="AN31" s="8"/>
      <c r="AO31" s="8"/>
      <c r="AP31" s="185"/>
      <c r="AQ31" s="226"/>
      <c r="AR31" s="227"/>
      <c r="AS31" s="227"/>
      <c r="AT31" s="228"/>
      <c r="AU31" s="27"/>
      <c r="AV31" s="151" t="str">
        <f t="shared" si="2"/>
        <v>Latzug</v>
      </c>
      <c r="AW31" s="8">
        <v>3</v>
      </c>
      <c r="AX31" s="35" t="s">
        <v>28</v>
      </c>
      <c r="AY31" s="44"/>
      <c r="AZ31" s="5" t="s">
        <v>3</v>
      </c>
      <c r="BA31" s="45"/>
      <c r="BB31" s="35" t="s">
        <v>30</v>
      </c>
      <c r="BC31" s="8"/>
      <c r="BD31" s="8"/>
      <c r="BE31" s="185"/>
      <c r="BF31" s="226"/>
      <c r="BG31" s="227"/>
      <c r="BH31" s="227"/>
      <c r="BI31" s="228"/>
      <c r="BJ31" s="28"/>
      <c r="BK31" s="151" t="str">
        <f>BK20</f>
        <v>Oberkörper Drückbewegung</v>
      </c>
      <c r="BL31" s="8">
        <v>2</v>
      </c>
      <c r="BM31" s="8" t="str">
        <f>IF(OR(BK31="Dips",BK31="Military Press"),"6-8","10-12")</f>
        <v>10-12</v>
      </c>
      <c r="BN31" s="33"/>
      <c r="BO31" s="5" t="s">
        <v>3</v>
      </c>
      <c r="BP31" s="34"/>
      <c r="BQ31" s="35" t="s">
        <v>30</v>
      </c>
      <c r="BR31" s="8"/>
      <c r="BS31" s="8"/>
      <c r="BT31" s="185"/>
      <c r="BU31" s="226"/>
      <c r="BV31" s="227"/>
      <c r="BW31" s="227"/>
      <c r="BX31" s="229"/>
      <c r="CA31" s="152" t="s">
        <v>71</v>
      </c>
      <c r="CC31" s="152" t="s">
        <v>76</v>
      </c>
      <c r="CE31" s="152" t="s">
        <v>86</v>
      </c>
      <c r="CG31" s="152" t="s">
        <v>89</v>
      </c>
    </row>
    <row r="32" spans="3:85" ht="15.6" x14ac:dyDescent="0.3">
      <c r="C32" s="9" t="str">
        <f t="shared" si="0"/>
        <v>Beinbeuger</v>
      </c>
      <c r="D32" s="10">
        <v>3</v>
      </c>
      <c r="E32" s="32" t="s">
        <v>28</v>
      </c>
      <c r="F32" s="48"/>
      <c r="G32" s="4" t="s">
        <v>3</v>
      </c>
      <c r="H32" s="39"/>
      <c r="I32" s="32" t="s">
        <v>30</v>
      </c>
      <c r="J32" s="10"/>
      <c r="K32" s="10"/>
      <c r="L32" s="186"/>
      <c r="M32" s="230"/>
      <c r="N32" s="231"/>
      <c r="O32" s="231"/>
      <c r="P32" s="232"/>
      <c r="Q32" s="27"/>
      <c r="R32" s="9" t="str">
        <f t="shared" si="1"/>
        <v>Hintere Schulter</v>
      </c>
      <c r="S32" s="10">
        <v>3</v>
      </c>
      <c r="T32" s="32" t="s">
        <v>36</v>
      </c>
      <c r="U32" s="37"/>
      <c r="V32" s="4" t="s">
        <v>3</v>
      </c>
      <c r="W32" s="39"/>
      <c r="X32" s="32" t="s">
        <v>30</v>
      </c>
      <c r="Y32" s="10"/>
      <c r="Z32" s="10"/>
      <c r="AA32" s="186"/>
      <c r="AB32" s="230"/>
      <c r="AC32" s="231"/>
      <c r="AD32" s="231"/>
      <c r="AE32" s="232"/>
      <c r="AF32" s="27"/>
      <c r="AG32" s="9" t="s">
        <v>21</v>
      </c>
      <c r="AH32" s="32" t="s">
        <v>37</v>
      </c>
      <c r="AI32" s="32" t="s">
        <v>38</v>
      </c>
      <c r="AJ32" s="48"/>
      <c r="AK32" s="4" t="s">
        <v>3</v>
      </c>
      <c r="AL32" s="39"/>
      <c r="AM32" s="32" t="s">
        <v>30</v>
      </c>
      <c r="AN32" s="10"/>
      <c r="AO32" s="10"/>
      <c r="AP32" s="186"/>
      <c r="AQ32" s="230"/>
      <c r="AR32" s="231"/>
      <c r="AS32" s="231"/>
      <c r="AT32" s="232"/>
      <c r="AU32" s="27"/>
      <c r="AV32" s="9" t="str">
        <f t="shared" si="2"/>
        <v>Hip Thrusts</v>
      </c>
      <c r="AW32" s="10">
        <v>3</v>
      </c>
      <c r="AX32" s="10">
        <v>10</v>
      </c>
      <c r="AY32" s="74"/>
      <c r="AZ32" s="4" t="s">
        <v>3</v>
      </c>
      <c r="BA32" s="76"/>
      <c r="BB32" s="32" t="s">
        <v>30</v>
      </c>
      <c r="BC32" s="10"/>
      <c r="BD32" s="10"/>
      <c r="BE32" s="186"/>
      <c r="BF32" s="230"/>
      <c r="BG32" s="231"/>
      <c r="BH32" s="231"/>
      <c r="BI32" s="232"/>
      <c r="BJ32" s="28"/>
      <c r="BK32" s="9" t="str">
        <f>BK21</f>
        <v>Rudern</v>
      </c>
      <c r="BL32" s="10">
        <v>3</v>
      </c>
      <c r="BM32" s="10" t="str">
        <f>IF(OR(BK32="Pendlay Rudern"),"8","10-12")</f>
        <v>10-12</v>
      </c>
      <c r="BN32" s="48"/>
      <c r="BO32" s="4" t="s">
        <v>3</v>
      </c>
      <c r="BP32" s="39"/>
      <c r="BQ32" s="32" t="s">
        <v>30</v>
      </c>
      <c r="BR32" s="10"/>
      <c r="BS32" s="10"/>
      <c r="BT32" s="186"/>
      <c r="BU32" s="230"/>
      <c r="BV32" s="231"/>
      <c r="BW32" s="231"/>
      <c r="BX32" s="233"/>
      <c r="CA32" s="152" t="s">
        <v>59</v>
      </c>
      <c r="CC32" s="152" t="s">
        <v>0</v>
      </c>
      <c r="CE32" s="152" t="s">
        <v>25</v>
      </c>
      <c r="CG32" s="152" t="s">
        <v>17</v>
      </c>
    </row>
    <row r="33" spans="3:85" ht="15.6" x14ac:dyDescent="0.3">
      <c r="C33" s="151" t="str">
        <f t="shared" si="0"/>
        <v>Optional: Unterarmstütz/Ab Roll</v>
      </c>
      <c r="D33" s="8">
        <v>2</v>
      </c>
      <c r="E33" s="8"/>
      <c r="F33" s="33"/>
      <c r="G33" s="5" t="s">
        <v>3</v>
      </c>
      <c r="H33" s="34"/>
      <c r="I33" s="8"/>
      <c r="J33" s="8"/>
      <c r="K33" s="8"/>
      <c r="L33" s="185"/>
      <c r="M33" s="226"/>
      <c r="N33" s="227"/>
      <c r="O33" s="227"/>
      <c r="P33" s="228"/>
      <c r="Q33" s="27"/>
      <c r="R33" s="7"/>
      <c r="S33" s="8"/>
      <c r="T33" s="8"/>
      <c r="U33" s="36"/>
      <c r="V33" s="5" t="s">
        <v>3</v>
      </c>
      <c r="W33" s="34"/>
      <c r="X33" s="8"/>
      <c r="Y33" s="8"/>
      <c r="Z33" s="8"/>
      <c r="AA33" s="185"/>
      <c r="AB33" s="226"/>
      <c r="AC33" s="227"/>
      <c r="AD33" s="227"/>
      <c r="AE33" s="228"/>
      <c r="AF33" s="27"/>
      <c r="AG33" s="151" t="s">
        <v>22</v>
      </c>
      <c r="AH33" s="35" t="s">
        <v>37</v>
      </c>
      <c r="AI33" s="35" t="s">
        <v>38</v>
      </c>
      <c r="AJ33" s="33"/>
      <c r="AK33" s="5" t="s">
        <v>3</v>
      </c>
      <c r="AL33" s="34"/>
      <c r="AM33" s="35" t="s">
        <v>30</v>
      </c>
      <c r="AN33" s="8"/>
      <c r="AO33" s="8"/>
      <c r="AP33" s="185"/>
      <c r="AQ33" s="226"/>
      <c r="AR33" s="227"/>
      <c r="AS33" s="227"/>
      <c r="AT33" s="228"/>
      <c r="AU33" s="27"/>
      <c r="AV33" s="151" t="str">
        <f t="shared" si="2"/>
        <v>Optional: Unterarmstütz/Ab Roll</v>
      </c>
      <c r="AW33" s="8">
        <v>2</v>
      </c>
      <c r="AX33" s="8"/>
      <c r="AY33" s="44"/>
      <c r="AZ33" s="5" t="s">
        <v>3</v>
      </c>
      <c r="BA33" s="45"/>
      <c r="BB33" s="8"/>
      <c r="BC33" s="8"/>
      <c r="BD33" s="8"/>
      <c r="BE33" s="185"/>
      <c r="BF33" s="226"/>
      <c r="BG33" s="227"/>
      <c r="BH33" s="227"/>
      <c r="BI33" s="228"/>
      <c r="BJ33" s="28"/>
      <c r="BK33" s="151" t="str">
        <f>BK22</f>
        <v>Hintere Schulter</v>
      </c>
      <c r="BL33" s="8">
        <v>3</v>
      </c>
      <c r="BM33" s="35" t="s">
        <v>28</v>
      </c>
      <c r="BN33" s="33"/>
      <c r="BO33" s="5" t="s">
        <v>3</v>
      </c>
      <c r="BP33" s="34"/>
      <c r="BQ33" s="35" t="s">
        <v>30</v>
      </c>
      <c r="BR33" s="8"/>
      <c r="BS33" s="8"/>
      <c r="BT33" s="185"/>
      <c r="BU33" s="226"/>
      <c r="BV33" s="227"/>
      <c r="BW33" s="227"/>
      <c r="BX33" s="229"/>
      <c r="CA33" s="152" t="s">
        <v>60</v>
      </c>
      <c r="CC33" s="152" t="s">
        <v>77</v>
      </c>
      <c r="CE33" s="152" t="s">
        <v>23</v>
      </c>
      <c r="CG33" s="152" t="s">
        <v>27</v>
      </c>
    </row>
    <row r="34" spans="3:85" ht="15.6" x14ac:dyDescent="0.3">
      <c r="C34" s="9"/>
      <c r="D34" s="10"/>
      <c r="E34" s="10"/>
      <c r="F34" s="48"/>
      <c r="G34" s="4" t="s">
        <v>3</v>
      </c>
      <c r="H34" s="39"/>
      <c r="I34" s="10"/>
      <c r="J34" s="10"/>
      <c r="K34" s="10"/>
      <c r="L34" s="186"/>
      <c r="M34" s="230"/>
      <c r="N34" s="231"/>
      <c r="O34" s="231"/>
      <c r="P34" s="232"/>
      <c r="Q34" s="27"/>
      <c r="R34" s="9"/>
      <c r="S34" s="10"/>
      <c r="T34" s="10"/>
      <c r="U34" s="37"/>
      <c r="V34" s="4" t="s">
        <v>3</v>
      </c>
      <c r="W34" s="39"/>
      <c r="X34" s="10"/>
      <c r="Y34" s="10"/>
      <c r="Z34" s="10"/>
      <c r="AA34" s="186"/>
      <c r="AB34" s="230"/>
      <c r="AC34" s="231"/>
      <c r="AD34" s="231"/>
      <c r="AE34" s="232"/>
      <c r="AF34" s="27"/>
      <c r="AG34" s="9"/>
      <c r="AH34" s="10"/>
      <c r="AI34" s="10"/>
      <c r="AJ34" s="48"/>
      <c r="AK34" s="4" t="s">
        <v>3</v>
      </c>
      <c r="AL34" s="39"/>
      <c r="AM34" s="10"/>
      <c r="AN34" s="10"/>
      <c r="AO34" s="10"/>
      <c r="AP34" s="186"/>
      <c r="AQ34" s="230"/>
      <c r="AR34" s="231"/>
      <c r="AS34" s="231"/>
      <c r="AT34" s="232"/>
      <c r="AU34" s="27"/>
      <c r="AV34" s="9"/>
      <c r="AW34" s="10"/>
      <c r="AX34" s="10"/>
      <c r="AY34" s="74"/>
      <c r="AZ34" s="4" t="s">
        <v>3</v>
      </c>
      <c r="BA34" s="76"/>
      <c r="BB34" s="10"/>
      <c r="BC34" s="10"/>
      <c r="BD34" s="10"/>
      <c r="BE34" s="186"/>
      <c r="BF34" s="230"/>
      <c r="BG34" s="231"/>
      <c r="BH34" s="231"/>
      <c r="BI34" s="232"/>
      <c r="BJ34" s="28"/>
      <c r="BK34" s="194"/>
      <c r="BL34" s="10"/>
      <c r="BM34" s="10"/>
      <c r="BN34" s="48"/>
      <c r="BO34" s="4" t="s">
        <v>3</v>
      </c>
      <c r="BP34" s="39"/>
      <c r="BQ34" s="10"/>
      <c r="BR34" s="10"/>
      <c r="BS34" s="10"/>
      <c r="BT34" s="186"/>
      <c r="BU34" s="230"/>
      <c r="BV34" s="231"/>
      <c r="BW34" s="231"/>
      <c r="BX34" s="233"/>
      <c r="CA34" s="152" t="s">
        <v>72</v>
      </c>
      <c r="CC34" s="152" t="s">
        <v>78</v>
      </c>
      <c r="CE34" s="152" t="s">
        <v>24</v>
      </c>
      <c r="CG34" s="152" t="s">
        <v>18</v>
      </c>
    </row>
    <row r="35" spans="3:85" ht="16.2" thickBot="1" x14ac:dyDescent="0.35">
      <c r="C35" s="11"/>
      <c r="D35" s="12"/>
      <c r="E35" s="12"/>
      <c r="F35" s="49"/>
      <c r="G35" s="6" t="s">
        <v>3</v>
      </c>
      <c r="H35" s="40"/>
      <c r="I35" s="12"/>
      <c r="J35" s="12"/>
      <c r="K35" s="12"/>
      <c r="L35" s="187"/>
      <c r="M35" s="220"/>
      <c r="N35" s="221"/>
      <c r="O35" s="221"/>
      <c r="P35" s="222"/>
      <c r="Q35" s="27"/>
      <c r="R35" s="11"/>
      <c r="S35" s="12"/>
      <c r="T35" s="12"/>
      <c r="U35" s="38"/>
      <c r="V35" s="6" t="s">
        <v>3</v>
      </c>
      <c r="W35" s="40"/>
      <c r="X35" s="12"/>
      <c r="Y35" s="12"/>
      <c r="Z35" s="12"/>
      <c r="AA35" s="187"/>
      <c r="AB35" s="220"/>
      <c r="AC35" s="221"/>
      <c r="AD35" s="221"/>
      <c r="AE35" s="222"/>
      <c r="AF35" s="27"/>
      <c r="AG35" s="11"/>
      <c r="AH35" s="12"/>
      <c r="AI35" s="12"/>
      <c r="AJ35" s="49"/>
      <c r="AK35" s="6" t="s">
        <v>3</v>
      </c>
      <c r="AL35" s="40"/>
      <c r="AM35" s="12"/>
      <c r="AN35" s="12"/>
      <c r="AO35" s="12"/>
      <c r="AP35" s="187"/>
      <c r="AQ35" s="220"/>
      <c r="AR35" s="221"/>
      <c r="AS35" s="221"/>
      <c r="AT35" s="222"/>
      <c r="AU35" s="27"/>
      <c r="AV35" s="11"/>
      <c r="AW35" s="12"/>
      <c r="AX35" s="12"/>
      <c r="AY35" s="75"/>
      <c r="AZ35" s="6" t="s">
        <v>3</v>
      </c>
      <c r="BA35" s="77"/>
      <c r="BB35" s="12"/>
      <c r="BC35" s="12"/>
      <c r="BD35" s="12"/>
      <c r="BE35" s="187"/>
      <c r="BF35" s="220"/>
      <c r="BG35" s="221"/>
      <c r="BH35" s="221"/>
      <c r="BI35" s="222"/>
      <c r="BJ35" s="28"/>
      <c r="BK35" s="197"/>
      <c r="BL35" s="198"/>
      <c r="BM35" s="198"/>
      <c r="BN35" s="199"/>
      <c r="BO35" s="200" t="s">
        <v>3</v>
      </c>
      <c r="BP35" s="201"/>
      <c r="BQ35" s="198"/>
      <c r="BR35" s="198"/>
      <c r="BS35" s="198"/>
      <c r="BT35" s="202"/>
      <c r="BU35" s="223"/>
      <c r="BV35" s="224"/>
      <c r="BW35" s="224"/>
      <c r="BX35" s="225"/>
      <c r="CA35" s="152" t="s">
        <v>73</v>
      </c>
      <c r="CC35" s="152" t="s">
        <v>79</v>
      </c>
      <c r="CG35" s="152" t="s">
        <v>19</v>
      </c>
    </row>
    <row r="36" spans="3:85" x14ac:dyDescent="0.3">
      <c r="CA36" s="152" t="s">
        <v>1</v>
      </c>
      <c r="CC36" s="152" t="s">
        <v>80</v>
      </c>
    </row>
    <row r="37" spans="3:85" ht="15" thickBot="1" x14ac:dyDescent="0.35">
      <c r="CA37" s="152" t="s">
        <v>15</v>
      </c>
      <c r="CC37" s="152" t="s">
        <v>92</v>
      </c>
    </row>
    <row r="38" spans="3:85" ht="24" thickBot="1" x14ac:dyDescent="0.35">
      <c r="C38" s="102" t="s">
        <v>14</v>
      </c>
      <c r="D38" s="1"/>
      <c r="E38" s="1"/>
      <c r="F38" s="47"/>
      <c r="G38" s="1"/>
      <c r="H38" s="50"/>
      <c r="I38" s="1"/>
      <c r="J38" s="1"/>
      <c r="K38" s="1"/>
      <c r="L38" s="1"/>
      <c r="M38" s="1"/>
      <c r="N38" s="1"/>
      <c r="O38" s="1"/>
      <c r="P38" s="1"/>
      <c r="AA38" s="1"/>
      <c r="AP38" s="1"/>
      <c r="BE38" s="1"/>
      <c r="BT38" s="1"/>
      <c r="CA38" s="152" t="s">
        <v>16</v>
      </c>
      <c r="CC38" s="152" t="s">
        <v>91</v>
      </c>
    </row>
    <row r="39" spans="3:85" ht="18.600000000000001" thickBot="1" x14ac:dyDescent="0.4">
      <c r="C39" s="130" t="s">
        <v>107</v>
      </c>
      <c r="D39" s="219" t="s">
        <v>136</v>
      </c>
      <c r="E39" s="219" t="s">
        <v>56</v>
      </c>
      <c r="F39" s="235" t="s">
        <v>29</v>
      </c>
      <c r="G39" s="235"/>
      <c r="H39" s="241"/>
      <c r="I39" s="219" t="s">
        <v>7</v>
      </c>
      <c r="J39" s="219" t="s">
        <v>137</v>
      </c>
      <c r="K39" s="219" t="s">
        <v>10</v>
      </c>
      <c r="L39" s="218" t="s">
        <v>66</v>
      </c>
      <c r="M39" s="234" t="s">
        <v>9</v>
      </c>
      <c r="N39" s="235"/>
      <c r="O39" s="235"/>
      <c r="P39" s="236"/>
      <c r="R39" s="130" t="s">
        <v>120</v>
      </c>
      <c r="S39" s="219" t="s">
        <v>136</v>
      </c>
      <c r="T39" s="219" t="s">
        <v>56</v>
      </c>
      <c r="U39" s="235" t="s">
        <v>29</v>
      </c>
      <c r="V39" s="235"/>
      <c r="W39" s="241"/>
      <c r="X39" s="219" t="s">
        <v>7</v>
      </c>
      <c r="Y39" s="219" t="s">
        <v>137</v>
      </c>
      <c r="Z39" s="219" t="s">
        <v>10</v>
      </c>
      <c r="AA39" s="218" t="s">
        <v>66</v>
      </c>
      <c r="AB39" s="234" t="s">
        <v>9</v>
      </c>
      <c r="AC39" s="235"/>
      <c r="AD39" s="235"/>
      <c r="AE39" s="236"/>
      <c r="AG39" s="130" t="s">
        <v>124</v>
      </c>
      <c r="AH39" s="219" t="s">
        <v>136</v>
      </c>
      <c r="AI39" s="219" t="s">
        <v>56</v>
      </c>
      <c r="AJ39" s="235" t="s">
        <v>29</v>
      </c>
      <c r="AK39" s="235"/>
      <c r="AL39" s="241"/>
      <c r="AM39" s="219" t="s">
        <v>7</v>
      </c>
      <c r="AN39" s="219" t="s">
        <v>137</v>
      </c>
      <c r="AO39" s="219" t="s">
        <v>10</v>
      </c>
      <c r="AP39" s="218" t="s">
        <v>66</v>
      </c>
      <c r="AQ39" s="234" t="s">
        <v>9</v>
      </c>
      <c r="AR39" s="235"/>
      <c r="AS39" s="235"/>
      <c r="AT39" s="236"/>
      <c r="AV39" s="130" t="s">
        <v>128</v>
      </c>
      <c r="AW39" s="219" t="s">
        <v>136</v>
      </c>
      <c r="AX39" s="219" t="s">
        <v>56</v>
      </c>
      <c r="AY39" s="235" t="s">
        <v>29</v>
      </c>
      <c r="AZ39" s="235"/>
      <c r="BA39" s="241"/>
      <c r="BB39" s="219" t="s">
        <v>7</v>
      </c>
      <c r="BC39" s="219" t="s">
        <v>137</v>
      </c>
      <c r="BD39" s="219" t="s">
        <v>10</v>
      </c>
      <c r="BE39" s="218" t="s">
        <v>66</v>
      </c>
      <c r="BF39" s="234" t="s">
        <v>9</v>
      </c>
      <c r="BG39" s="235"/>
      <c r="BH39" s="235"/>
      <c r="BI39" s="236"/>
      <c r="BJ39" s="29"/>
      <c r="BK39" s="190" t="s">
        <v>132</v>
      </c>
      <c r="BL39" s="219" t="s">
        <v>136</v>
      </c>
      <c r="BM39" s="219" t="s">
        <v>56</v>
      </c>
      <c r="BN39" s="235" t="s">
        <v>29</v>
      </c>
      <c r="BO39" s="235"/>
      <c r="BP39" s="241"/>
      <c r="BQ39" s="219" t="s">
        <v>7</v>
      </c>
      <c r="BR39" s="219" t="s">
        <v>137</v>
      </c>
      <c r="BS39" s="219" t="s">
        <v>10</v>
      </c>
      <c r="BT39" s="218" t="s">
        <v>66</v>
      </c>
      <c r="BU39" s="234" t="s">
        <v>9</v>
      </c>
      <c r="BV39" s="235"/>
      <c r="BW39" s="235"/>
      <c r="BX39" s="236"/>
      <c r="CC39" s="152" t="s">
        <v>93</v>
      </c>
    </row>
    <row r="40" spans="3:85" ht="15.6" x14ac:dyDescent="0.3">
      <c r="C40" s="7" t="str">
        <f>C29</f>
        <v>WK-Kniebeuge</v>
      </c>
      <c r="D40" s="8">
        <v>4</v>
      </c>
      <c r="E40" s="8">
        <v>8</v>
      </c>
      <c r="F40" s="33">
        <f>(0.72*D10)-5</f>
        <v>-5</v>
      </c>
      <c r="G40" s="5" t="s">
        <v>3</v>
      </c>
      <c r="H40" s="34">
        <f>(0.72*D10)+5</f>
        <v>5</v>
      </c>
      <c r="I40" s="8">
        <v>8</v>
      </c>
      <c r="J40" s="8" t="s">
        <v>61</v>
      </c>
      <c r="K40" s="8"/>
      <c r="L40" s="185"/>
      <c r="M40" s="237"/>
      <c r="N40" s="238"/>
      <c r="O40" s="238"/>
      <c r="P40" s="239"/>
      <c r="R40" s="151" t="str">
        <f>R29</f>
        <v>WK-Bankdrücken</v>
      </c>
      <c r="S40" s="8">
        <v>3</v>
      </c>
      <c r="T40" s="8">
        <v>10</v>
      </c>
      <c r="U40" s="36">
        <f>(0.66*F10)-5</f>
        <v>-5</v>
      </c>
      <c r="V40" s="5" t="s">
        <v>3</v>
      </c>
      <c r="W40" s="34">
        <f>(0.66*F10)+5</f>
        <v>5</v>
      </c>
      <c r="X40" s="8">
        <v>8</v>
      </c>
      <c r="Y40" s="8" t="s">
        <v>62</v>
      </c>
      <c r="Z40" s="8"/>
      <c r="AA40" s="185"/>
      <c r="AB40" s="237"/>
      <c r="AC40" s="238"/>
      <c r="AD40" s="238"/>
      <c r="AE40" s="239"/>
      <c r="AG40" s="151" t="str">
        <f>AG18</f>
        <v>WK-Kreuzheben</v>
      </c>
      <c r="AH40" s="8">
        <v>4</v>
      </c>
      <c r="AI40" s="8">
        <v>6</v>
      </c>
      <c r="AJ40" s="33">
        <f>(0.76*H10)-5</f>
        <v>-5</v>
      </c>
      <c r="AK40" s="5" t="s">
        <v>3</v>
      </c>
      <c r="AL40" s="34">
        <f>(0.76*H10)+5</f>
        <v>5</v>
      </c>
      <c r="AM40" s="8">
        <v>8</v>
      </c>
      <c r="AN40" s="8" t="s">
        <v>40</v>
      </c>
      <c r="AO40" s="8"/>
      <c r="AP40" s="185"/>
      <c r="AQ40" s="237"/>
      <c r="AR40" s="238"/>
      <c r="AS40" s="238"/>
      <c r="AT40" s="239"/>
      <c r="AV40" s="151" t="str">
        <f>AV29</f>
        <v>Highbar Kniebeuge</v>
      </c>
      <c r="AW40" s="8">
        <v>4</v>
      </c>
      <c r="AX40" s="8">
        <v>9</v>
      </c>
      <c r="AY40" s="33">
        <f>(0.7*D13)-5</f>
        <v>-5</v>
      </c>
      <c r="AZ40" s="5" t="s">
        <v>3</v>
      </c>
      <c r="BA40" s="34">
        <f>(0.7*D13)+5</f>
        <v>5</v>
      </c>
      <c r="BB40" s="8">
        <v>8</v>
      </c>
      <c r="BC40" s="8" t="s">
        <v>63</v>
      </c>
      <c r="BD40" s="8"/>
      <c r="BE40" s="185"/>
      <c r="BF40" s="237"/>
      <c r="BG40" s="238"/>
      <c r="BH40" s="238"/>
      <c r="BI40" s="239"/>
      <c r="BJ40" s="28"/>
      <c r="BK40" s="193" t="s">
        <v>97</v>
      </c>
      <c r="BL40" s="8">
        <v>4</v>
      </c>
      <c r="BM40" s="8">
        <v>6</v>
      </c>
      <c r="BN40" s="33">
        <f>(0.76*F10)-5</f>
        <v>-5</v>
      </c>
      <c r="BO40" s="5" t="s">
        <v>3</v>
      </c>
      <c r="BP40" s="34">
        <f>(0.76*F10)+5</f>
        <v>5</v>
      </c>
      <c r="BQ40" s="8">
        <v>8</v>
      </c>
      <c r="BR40" s="8" t="s">
        <v>62</v>
      </c>
      <c r="BS40" s="8"/>
      <c r="BT40" s="185"/>
      <c r="BU40" s="237"/>
      <c r="BV40" s="238"/>
      <c r="BW40" s="238"/>
      <c r="BX40" s="239"/>
      <c r="CA40" s="152" t="s">
        <v>71</v>
      </c>
      <c r="CC40" s="152" t="s">
        <v>94</v>
      </c>
    </row>
    <row r="41" spans="3:85" ht="15.6" x14ac:dyDescent="0.3">
      <c r="C41" s="9" t="str">
        <f t="shared" ref="C41:C44" si="3">C30</f>
        <v>Kniebeuge - Variation</v>
      </c>
      <c r="D41" s="10">
        <v>2</v>
      </c>
      <c r="E41" s="10">
        <v>5</v>
      </c>
      <c r="F41" s="48">
        <f>IF(C30="2ct. WK-Kniebeuge",(D11*0.77)-5,(D12*0.77)-5)</f>
        <v>-5</v>
      </c>
      <c r="G41" s="4" t="s">
        <v>3</v>
      </c>
      <c r="H41" s="39">
        <f>IF(C30="2ct. WK-Kniebeuge",(D11*0.77)+5,(D12*0.77)+5)</f>
        <v>5</v>
      </c>
      <c r="I41" s="10">
        <v>7</v>
      </c>
      <c r="J41" s="10" t="s">
        <v>61</v>
      </c>
      <c r="K41" s="10"/>
      <c r="L41" s="186"/>
      <c r="M41" s="230"/>
      <c r="N41" s="231"/>
      <c r="O41" s="231"/>
      <c r="P41" s="232"/>
      <c r="R41" s="9" t="str">
        <f t="shared" ref="R41:R43" si="4">R30</f>
        <v>Latzug</v>
      </c>
      <c r="S41" s="10">
        <v>3</v>
      </c>
      <c r="T41" s="32" t="s">
        <v>41</v>
      </c>
      <c r="U41" s="37"/>
      <c r="V41" s="4" t="s">
        <v>3</v>
      </c>
      <c r="W41" s="39"/>
      <c r="X41" s="32" t="s">
        <v>30</v>
      </c>
      <c r="Y41" s="10"/>
      <c r="Z41" s="10"/>
      <c r="AA41" s="186"/>
      <c r="AB41" s="230"/>
      <c r="AC41" s="231"/>
      <c r="AD41" s="231"/>
      <c r="AE41" s="232"/>
      <c r="AG41" s="9" t="str">
        <f>AG30</f>
        <v>Bankdrücken - Variation</v>
      </c>
      <c r="AH41" s="10">
        <v>3</v>
      </c>
      <c r="AI41" s="10">
        <v>4</v>
      </c>
      <c r="AJ41" s="48">
        <f>IF(AG30="3ct. WK-Bankdrücken",(F11*0.78)-5,(F12*0.78)-5)</f>
        <v>-5</v>
      </c>
      <c r="AK41" s="4" t="s">
        <v>3</v>
      </c>
      <c r="AL41" s="39">
        <f>IF(AG30="3ct. WK-Bankdrücken",(F11*0.78)+5,(F12*0.78)+5)</f>
        <v>5</v>
      </c>
      <c r="AM41" s="10">
        <v>7</v>
      </c>
      <c r="AN41" s="10" t="s">
        <v>62</v>
      </c>
      <c r="AO41" s="10"/>
      <c r="AP41" s="186"/>
      <c r="AQ41" s="230"/>
      <c r="AR41" s="231"/>
      <c r="AS41" s="231"/>
      <c r="AT41" s="232"/>
      <c r="AV41" s="9" t="str">
        <f t="shared" ref="AV41:AV44" si="5">AV30</f>
        <v>Kreuzheben - Variation</v>
      </c>
      <c r="AW41" s="10">
        <v>3</v>
      </c>
      <c r="AX41" s="10">
        <f>IF(AV41="Kreuzheben im Reißgriff",8,10)</f>
        <v>10</v>
      </c>
      <c r="AY41" s="74"/>
      <c r="AZ41" s="4" t="s">
        <v>3</v>
      </c>
      <c r="BA41" s="76"/>
      <c r="BB41" s="10">
        <v>8</v>
      </c>
      <c r="BC41" s="10" t="s">
        <v>58</v>
      </c>
      <c r="BD41" s="10"/>
      <c r="BE41" s="186"/>
      <c r="BF41" s="230"/>
      <c r="BG41" s="231"/>
      <c r="BH41" s="231"/>
      <c r="BI41" s="232"/>
      <c r="BJ41" s="28"/>
      <c r="BK41" s="194" t="s">
        <v>100</v>
      </c>
      <c r="BL41" s="10">
        <v>2</v>
      </c>
      <c r="BM41" s="10">
        <v>8</v>
      </c>
      <c r="BN41" s="48">
        <f>(0.71*F13)-5</f>
        <v>-5</v>
      </c>
      <c r="BO41" s="4" t="s">
        <v>3</v>
      </c>
      <c r="BP41" s="39">
        <f>(0.71*F13)+5</f>
        <v>5</v>
      </c>
      <c r="BQ41" s="10">
        <v>7</v>
      </c>
      <c r="BR41" s="10" t="s">
        <v>62</v>
      </c>
      <c r="BS41" s="10"/>
      <c r="BT41" s="186"/>
      <c r="BU41" s="230"/>
      <c r="BV41" s="231"/>
      <c r="BW41" s="231"/>
      <c r="BX41" s="232"/>
      <c r="CA41" s="152" t="s">
        <v>90</v>
      </c>
      <c r="CC41" s="152" t="s">
        <v>20</v>
      </c>
    </row>
    <row r="42" spans="3:85" ht="15.6" x14ac:dyDescent="0.3">
      <c r="C42" s="7" t="str">
        <f t="shared" si="3"/>
        <v>Rudern</v>
      </c>
      <c r="D42" s="8">
        <v>3</v>
      </c>
      <c r="E42" s="31" t="s">
        <v>28</v>
      </c>
      <c r="F42" s="33"/>
      <c r="G42" s="5" t="s">
        <v>3</v>
      </c>
      <c r="H42" s="34"/>
      <c r="I42" s="35" t="s">
        <v>30</v>
      </c>
      <c r="J42" s="8"/>
      <c r="K42" s="8"/>
      <c r="L42" s="185"/>
      <c r="M42" s="226"/>
      <c r="N42" s="227"/>
      <c r="O42" s="227"/>
      <c r="P42" s="228"/>
      <c r="R42" s="151" t="str">
        <f t="shared" si="4"/>
        <v>Oberkörper Drückbewegung</v>
      </c>
      <c r="S42" s="8">
        <v>3</v>
      </c>
      <c r="T42" s="8">
        <f>IF(OR(R42="Dips",R20="LH Schulterdrücken"),6,10)</f>
        <v>10</v>
      </c>
      <c r="U42" s="36"/>
      <c r="V42" s="5" t="s">
        <v>3</v>
      </c>
      <c r="W42" s="34"/>
      <c r="X42" s="8">
        <v>8</v>
      </c>
      <c r="Y42" s="8"/>
      <c r="Z42" s="8"/>
      <c r="AA42" s="185"/>
      <c r="AB42" s="226"/>
      <c r="AC42" s="227"/>
      <c r="AD42" s="227"/>
      <c r="AE42" s="228"/>
      <c r="AG42" s="7" t="str">
        <f>AG31</f>
        <v>Unterkörperübung, unilateral</v>
      </c>
      <c r="AH42" s="8">
        <v>2</v>
      </c>
      <c r="AI42" s="8">
        <v>12</v>
      </c>
      <c r="AJ42" s="33"/>
      <c r="AK42" s="5" t="s">
        <v>3</v>
      </c>
      <c r="AL42" s="34"/>
      <c r="AM42" s="8">
        <v>8</v>
      </c>
      <c r="AN42" s="8"/>
      <c r="AO42" s="8"/>
      <c r="AP42" s="185"/>
      <c r="AQ42" s="226"/>
      <c r="AR42" s="227"/>
      <c r="AS42" s="227"/>
      <c r="AT42" s="228"/>
      <c r="AV42" s="151" t="str">
        <f t="shared" si="5"/>
        <v>Latzug</v>
      </c>
      <c r="AW42" s="8">
        <v>3</v>
      </c>
      <c r="AX42" s="35" t="s">
        <v>28</v>
      </c>
      <c r="AY42" s="44"/>
      <c r="AZ42" s="5" t="s">
        <v>3</v>
      </c>
      <c r="BA42" s="45"/>
      <c r="BB42" s="35" t="s">
        <v>30</v>
      </c>
      <c r="BC42" s="8"/>
      <c r="BD42" s="8"/>
      <c r="BE42" s="185"/>
      <c r="BF42" s="226"/>
      <c r="BG42" s="227"/>
      <c r="BH42" s="227"/>
      <c r="BI42" s="228"/>
      <c r="BJ42" s="28"/>
      <c r="BK42" s="7" t="str">
        <f>BK31</f>
        <v>Oberkörper Drückbewegung</v>
      </c>
      <c r="BL42" s="8">
        <v>2</v>
      </c>
      <c r="BM42" s="8" t="str">
        <f>IF(OR(BK42="Dips",BK42="Military Press"),"6-8","10-12")</f>
        <v>10-12</v>
      </c>
      <c r="BN42" s="33"/>
      <c r="BO42" s="5" t="s">
        <v>3</v>
      </c>
      <c r="BP42" s="34"/>
      <c r="BQ42" s="35" t="s">
        <v>30</v>
      </c>
      <c r="BR42" s="8"/>
      <c r="BS42" s="8"/>
      <c r="BT42" s="185"/>
      <c r="BU42" s="226"/>
      <c r="BV42" s="227"/>
      <c r="BW42" s="227"/>
      <c r="BX42" s="228"/>
      <c r="CA42" s="152" t="s">
        <v>59</v>
      </c>
    </row>
    <row r="43" spans="3:85" ht="15.6" x14ac:dyDescent="0.3">
      <c r="C43" s="9" t="str">
        <f t="shared" si="3"/>
        <v>Beinbeuger</v>
      </c>
      <c r="D43" s="10">
        <v>3</v>
      </c>
      <c r="E43" s="32" t="s">
        <v>28</v>
      </c>
      <c r="F43" s="48"/>
      <c r="G43" s="4" t="s">
        <v>3</v>
      </c>
      <c r="H43" s="39"/>
      <c r="I43" s="32" t="s">
        <v>30</v>
      </c>
      <c r="J43" s="10"/>
      <c r="K43" s="10"/>
      <c r="L43" s="186"/>
      <c r="M43" s="230"/>
      <c r="N43" s="231"/>
      <c r="O43" s="231"/>
      <c r="P43" s="232"/>
      <c r="R43" s="9" t="str">
        <f t="shared" si="4"/>
        <v>Hintere Schulter</v>
      </c>
      <c r="S43" s="10">
        <v>3</v>
      </c>
      <c r="T43" s="32" t="s">
        <v>36</v>
      </c>
      <c r="U43" s="37"/>
      <c r="V43" s="4" t="s">
        <v>3</v>
      </c>
      <c r="W43" s="39"/>
      <c r="X43" s="32" t="s">
        <v>30</v>
      </c>
      <c r="Y43" s="10"/>
      <c r="Z43" s="10"/>
      <c r="AA43" s="186"/>
      <c r="AB43" s="230"/>
      <c r="AC43" s="231"/>
      <c r="AD43" s="231"/>
      <c r="AE43" s="232"/>
      <c r="AG43" s="9" t="s">
        <v>21</v>
      </c>
      <c r="AH43" s="32" t="s">
        <v>37</v>
      </c>
      <c r="AI43" s="32" t="s">
        <v>38</v>
      </c>
      <c r="AJ43" s="48"/>
      <c r="AK43" s="4" t="s">
        <v>3</v>
      </c>
      <c r="AL43" s="39"/>
      <c r="AM43" s="32" t="s">
        <v>30</v>
      </c>
      <c r="AN43" s="10"/>
      <c r="AO43" s="10"/>
      <c r="AP43" s="186"/>
      <c r="AQ43" s="230"/>
      <c r="AR43" s="231"/>
      <c r="AS43" s="231"/>
      <c r="AT43" s="232"/>
      <c r="AV43" s="9" t="str">
        <f t="shared" si="5"/>
        <v>Hip Thrusts</v>
      </c>
      <c r="AW43" s="10">
        <v>3</v>
      </c>
      <c r="AX43" s="10">
        <v>10</v>
      </c>
      <c r="AY43" s="74"/>
      <c r="AZ43" s="4" t="s">
        <v>3</v>
      </c>
      <c r="BA43" s="76"/>
      <c r="BB43" s="10">
        <v>8</v>
      </c>
      <c r="BC43" s="10"/>
      <c r="BD43" s="10"/>
      <c r="BE43" s="186"/>
      <c r="BF43" s="230"/>
      <c r="BG43" s="231"/>
      <c r="BH43" s="231"/>
      <c r="BI43" s="232"/>
      <c r="BJ43" s="28"/>
      <c r="BK43" s="9" t="str">
        <f>BK32</f>
        <v>Rudern</v>
      </c>
      <c r="BL43" s="10">
        <v>3</v>
      </c>
      <c r="BM43" s="10" t="str">
        <f>IF(OR(BK43="Pendlay Rudern"),"8","10-12")</f>
        <v>10-12</v>
      </c>
      <c r="BN43" s="48"/>
      <c r="BO43" s="4" t="s">
        <v>3</v>
      </c>
      <c r="BP43" s="39"/>
      <c r="BQ43" s="10">
        <v>8</v>
      </c>
      <c r="BR43" s="10"/>
      <c r="BS43" s="10"/>
      <c r="BT43" s="186"/>
      <c r="BU43" s="230"/>
      <c r="BV43" s="231"/>
      <c r="BW43" s="231"/>
      <c r="BX43" s="232"/>
      <c r="CA43" s="152" t="s">
        <v>60</v>
      </c>
    </row>
    <row r="44" spans="3:85" ht="15.6" x14ac:dyDescent="0.3">
      <c r="C44" s="7" t="str">
        <f t="shared" si="3"/>
        <v>Optional: Unterarmstütz/Ab Roll</v>
      </c>
      <c r="D44" s="8">
        <v>2</v>
      </c>
      <c r="E44" s="8"/>
      <c r="F44" s="33"/>
      <c r="G44" s="5" t="s">
        <v>3</v>
      </c>
      <c r="H44" s="34"/>
      <c r="I44" s="8"/>
      <c r="J44" s="8"/>
      <c r="K44" s="8"/>
      <c r="L44" s="185"/>
      <c r="M44" s="226"/>
      <c r="N44" s="227"/>
      <c r="O44" s="227"/>
      <c r="P44" s="228"/>
      <c r="R44" s="7"/>
      <c r="S44" s="8"/>
      <c r="T44" s="8"/>
      <c r="U44" s="36"/>
      <c r="V44" s="5" t="s">
        <v>3</v>
      </c>
      <c r="W44" s="34"/>
      <c r="X44" s="8"/>
      <c r="Y44" s="8"/>
      <c r="Z44" s="8"/>
      <c r="AA44" s="185"/>
      <c r="AB44" s="226"/>
      <c r="AC44" s="227"/>
      <c r="AD44" s="227"/>
      <c r="AE44" s="228"/>
      <c r="AG44" s="7" t="s">
        <v>22</v>
      </c>
      <c r="AH44" s="35" t="s">
        <v>37</v>
      </c>
      <c r="AI44" s="35" t="s">
        <v>38</v>
      </c>
      <c r="AJ44" s="33"/>
      <c r="AK44" s="5" t="s">
        <v>3</v>
      </c>
      <c r="AL44" s="34"/>
      <c r="AM44" s="35" t="s">
        <v>30</v>
      </c>
      <c r="AN44" s="8"/>
      <c r="AO44" s="8"/>
      <c r="AP44" s="185"/>
      <c r="AQ44" s="226"/>
      <c r="AR44" s="227"/>
      <c r="AS44" s="227"/>
      <c r="AT44" s="228"/>
      <c r="AV44" s="151" t="str">
        <f t="shared" si="5"/>
        <v>Optional: Unterarmstütz/Ab Roll</v>
      </c>
      <c r="AW44" s="8">
        <v>2</v>
      </c>
      <c r="AX44" s="8"/>
      <c r="AY44" s="44"/>
      <c r="AZ44" s="5" t="s">
        <v>3</v>
      </c>
      <c r="BA44" s="45"/>
      <c r="BB44" s="8"/>
      <c r="BC44" s="8"/>
      <c r="BD44" s="8"/>
      <c r="BE44" s="185"/>
      <c r="BF44" s="226"/>
      <c r="BG44" s="227"/>
      <c r="BH44" s="227"/>
      <c r="BI44" s="228"/>
      <c r="BJ44" s="28"/>
      <c r="BK44" s="7" t="str">
        <f>BK33</f>
        <v>Hintere Schulter</v>
      </c>
      <c r="BL44" s="8">
        <v>3</v>
      </c>
      <c r="BM44" s="35" t="s">
        <v>28</v>
      </c>
      <c r="BN44" s="33"/>
      <c r="BO44" s="5" t="s">
        <v>3</v>
      </c>
      <c r="BP44" s="34"/>
      <c r="BQ44" s="35" t="s">
        <v>30</v>
      </c>
      <c r="BR44" s="8"/>
      <c r="BS44" s="8"/>
      <c r="BT44" s="185"/>
      <c r="BU44" s="226"/>
      <c r="BV44" s="227"/>
      <c r="BW44" s="227"/>
      <c r="BX44" s="228"/>
    </row>
    <row r="45" spans="3:85" ht="15.6" x14ac:dyDescent="0.3">
      <c r="C45" s="9"/>
      <c r="D45" s="10"/>
      <c r="E45" s="10"/>
      <c r="F45" s="48"/>
      <c r="G45" s="4" t="s">
        <v>3</v>
      </c>
      <c r="H45" s="39"/>
      <c r="I45" s="10"/>
      <c r="J45" s="10"/>
      <c r="K45" s="10"/>
      <c r="L45" s="186"/>
      <c r="M45" s="230"/>
      <c r="N45" s="231"/>
      <c r="O45" s="231"/>
      <c r="P45" s="232"/>
      <c r="R45" s="9"/>
      <c r="S45" s="10"/>
      <c r="T45" s="10"/>
      <c r="U45" s="37"/>
      <c r="V45" s="4" t="s">
        <v>3</v>
      </c>
      <c r="W45" s="39"/>
      <c r="X45" s="10"/>
      <c r="Y45" s="10"/>
      <c r="Z45" s="10"/>
      <c r="AA45" s="186"/>
      <c r="AB45" s="230"/>
      <c r="AC45" s="231"/>
      <c r="AD45" s="231"/>
      <c r="AE45" s="232"/>
      <c r="AG45" s="9"/>
      <c r="AH45" s="10"/>
      <c r="AI45" s="10"/>
      <c r="AJ45" s="48"/>
      <c r="AK45" s="4" t="s">
        <v>3</v>
      </c>
      <c r="AL45" s="39"/>
      <c r="AM45" s="10"/>
      <c r="AN45" s="10"/>
      <c r="AO45" s="10"/>
      <c r="AP45" s="186"/>
      <c r="AQ45" s="230"/>
      <c r="AR45" s="231"/>
      <c r="AS45" s="231"/>
      <c r="AT45" s="232"/>
      <c r="AV45" s="9"/>
      <c r="AW45" s="10"/>
      <c r="AX45" s="10"/>
      <c r="AY45" s="74"/>
      <c r="AZ45" s="4" t="s">
        <v>3</v>
      </c>
      <c r="BA45" s="76"/>
      <c r="BB45" s="10"/>
      <c r="BC45" s="10"/>
      <c r="BD45" s="10"/>
      <c r="BE45" s="186"/>
      <c r="BF45" s="230"/>
      <c r="BG45" s="231"/>
      <c r="BH45" s="231"/>
      <c r="BI45" s="232"/>
      <c r="BJ45" s="28"/>
      <c r="BK45" s="9"/>
      <c r="BL45" s="10"/>
      <c r="BM45" s="10"/>
      <c r="BN45" s="48"/>
      <c r="BO45" s="4" t="s">
        <v>3</v>
      </c>
      <c r="BP45" s="39"/>
      <c r="BQ45" s="10"/>
      <c r="BR45" s="10"/>
      <c r="BS45" s="10"/>
      <c r="BT45" s="186"/>
      <c r="BU45" s="230"/>
      <c r="BV45" s="231"/>
      <c r="BW45" s="231"/>
      <c r="BX45" s="232"/>
    </row>
    <row r="46" spans="3:85" ht="16.2" thickBot="1" x14ac:dyDescent="0.35">
      <c r="C46" s="11"/>
      <c r="D46" s="12"/>
      <c r="E46" s="12"/>
      <c r="F46" s="49"/>
      <c r="G46" s="6" t="s">
        <v>3</v>
      </c>
      <c r="H46" s="40"/>
      <c r="I46" s="12"/>
      <c r="J46" s="12"/>
      <c r="K46" s="12"/>
      <c r="L46" s="187"/>
      <c r="M46" s="220"/>
      <c r="N46" s="221"/>
      <c r="O46" s="221"/>
      <c r="P46" s="222"/>
      <c r="R46" s="11"/>
      <c r="S46" s="12"/>
      <c r="T46" s="12"/>
      <c r="U46" s="38"/>
      <c r="V46" s="6" t="s">
        <v>3</v>
      </c>
      <c r="W46" s="40"/>
      <c r="X46" s="12"/>
      <c r="Y46" s="12"/>
      <c r="Z46" s="12"/>
      <c r="AA46" s="187"/>
      <c r="AB46" s="220"/>
      <c r="AC46" s="221"/>
      <c r="AD46" s="221"/>
      <c r="AE46" s="222"/>
      <c r="AG46" s="11"/>
      <c r="AH46" s="12"/>
      <c r="AI46" s="12"/>
      <c r="AJ46" s="49"/>
      <c r="AK46" s="6" t="s">
        <v>3</v>
      </c>
      <c r="AL46" s="40"/>
      <c r="AM46" s="12"/>
      <c r="AN46" s="12"/>
      <c r="AO46" s="12"/>
      <c r="AP46" s="187"/>
      <c r="AQ46" s="220"/>
      <c r="AR46" s="221"/>
      <c r="AS46" s="221"/>
      <c r="AT46" s="222"/>
      <c r="AV46" s="11"/>
      <c r="AW46" s="12"/>
      <c r="AX46" s="12"/>
      <c r="AY46" s="75"/>
      <c r="AZ46" s="6" t="s">
        <v>3</v>
      </c>
      <c r="BA46" s="77"/>
      <c r="BB46" s="12"/>
      <c r="BC46" s="12"/>
      <c r="BD46" s="12"/>
      <c r="BE46" s="187"/>
      <c r="BF46" s="220"/>
      <c r="BG46" s="221"/>
      <c r="BH46" s="221"/>
      <c r="BI46" s="222"/>
      <c r="BJ46" s="28"/>
      <c r="BK46" s="11"/>
      <c r="BL46" s="12"/>
      <c r="BM46" s="12"/>
      <c r="BN46" s="49"/>
      <c r="BO46" s="6" t="s">
        <v>3</v>
      </c>
      <c r="BP46" s="40"/>
      <c r="BQ46" s="12"/>
      <c r="BR46" s="12"/>
      <c r="BS46" s="12"/>
      <c r="BT46" s="187"/>
      <c r="BU46" s="220"/>
      <c r="BV46" s="221"/>
      <c r="BW46" s="221"/>
      <c r="BX46" s="222"/>
    </row>
    <row r="48" spans="3:85" ht="15" thickBot="1" x14ac:dyDescent="0.35"/>
    <row r="49" spans="3:76" ht="24" thickBot="1" x14ac:dyDescent="0.35">
      <c r="C49" s="102" t="s">
        <v>13</v>
      </c>
      <c r="D49" s="1"/>
      <c r="E49" s="1"/>
      <c r="F49" s="47"/>
      <c r="G49" s="1"/>
      <c r="H49" s="50"/>
      <c r="I49" s="1"/>
      <c r="J49" s="1"/>
      <c r="K49" s="1"/>
      <c r="L49" s="1"/>
      <c r="M49" s="1"/>
      <c r="N49" s="1"/>
      <c r="O49" s="1"/>
      <c r="P49" s="1"/>
      <c r="AA49" s="1"/>
      <c r="AP49" s="1"/>
      <c r="BE49" s="1"/>
      <c r="BT49" s="1"/>
    </row>
    <row r="50" spans="3:76" ht="18.600000000000001" thickBot="1" x14ac:dyDescent="0.4">
      <c r="C50" s="130" t="s">
        <v>117</v>
      </c>
      <c r="D50" s="219" t="s">
        <v>136</v>
      </c>
      <c r="E50" s="219" t="s">
        <v>56</v>
      </c>
      <c r="F50" s="235" t="s">
        <v>29</v>
      </c>
      <c r="G50" s="235"/>
      <c r="H50" s="241"/>
      <c r="I50" s="219" t="s">
        <v>7</v>
      </c>
      <c r="J50" s="219" t="s">
        <v>137</v>
      </c>
      <c r="K50" s="219" t="s">
        <v>10</v>
      </c>
      <c r="L50" s="218" t="s">
        <v>66</v>
      </c>
      <c r="M50" s="234" t="s">
        <v>9</v>
      </c>
      <c r="N50" s="235"/>
      <c r="O50" s="235"/>
      <c r="P50" s="236"/>
      <c r="R50" s="130" t="s">
        <v>121</v>
      </c>
      <c r="S50" s="219" t="s">
        <v>136</v>
      </c>
      <c r="T50" s="219" t="s">
        <v>56</v>
      </c>
      <c r="U50" s="235" t="s">
        <v>29</v>
      </c>
      <c r="V50" s="235"/>
      <c r="W50" s="241"/>
      <c r="X50" s="219" t="s">
        <v>7</v>
      </c>
      <c r="Y50" s="219" t="s">
        <v>137</v>
      </c>
      <c r="Z50" s="219" t="s">
        <v>10</v>
      </c>
      <c r="AA50" s="218" t="s">
        <v>66</v>
      </c>
      <c r="AB50" s="234" t="s">
        <v>9</v>
      </c>
      <c r="AC50" s="235"/>
      <c r="AD50" s="235"/>
      <c r="AE50" s="236"/>
      <c r="AG50" s="130" t="s">
        <v>125</v>
      </c>
      <c r="AH50" s="219" t="s">
        <v>136</v>
      </c>
      <c r="AI50" s="219" t="s">
        <v>56</v>
      </c>
      <c r="AJ50" s="235" t="s">
        <v>29</v>
      </c>
      <c r="AK50" s="235"/>
      <c r="AL50" s="241"/>
      <c r="AM50" s="219" t="s">
        <v>7</v>
      </c>
      <c r="AN50" s="219" t="s">
        <v>137</v>
      </c>
      <c r="AO50" s="219" t="s">
        <v>10</v>
      </c>
      <c r="AP50" s="218" t="s">
        <v>66</v>
      </c>
      <c r="AQ50" s="234" t="s">
        <v>9</v>
      </c>
      <c r="AR50" s="235"/>
      <c r="AS50" s="235"/>
      <c r="AT50" s="236"/>
      <c r="AV50" s="130" t="s">
        <v>129</v>
      </c>
      <c r="AW50" s="219" t="s">
        <v>136</v>
      </c>
      <c r="AX50" s="219" t="s">
        <v>56</v>
      </c>
      <c r="AY50" s="235" t="s">
        <v>29</v>
      </c>
      <c r="AZ50" s="235"/>
      <c r="BA50" s="241"/>
      <c r="BB50" s="219" t="s">
        <v>7</v>
      </c>
      <c r="BC50" s="219" t="s">
        <v>137</v>
      </c>
      <c r="BD50" s="219" t="s">
        <v>10</v>
      </c>
      <c r="BE50" s="218" t="s">
        <v>66</v>
      </c>
      <c r="BF50" s="234" t="s">
        <v>9</v>
      </c>
      <c r="BG50" s="235"/>
      <c r="BH50" s="235"/>
      <c r="BI50" s="236"/>
      <c r="BJ50" s="29"/>
      <c r="BK50" s="190" t="s">
        <v>133</v>
      </c>
      <c r="BL50" s="219" t="s">
        <v>136</v>
      </c>
      <c r="BM50" s="219" t="s">
        <v>56</v>
      </c>
      <c r="BN50" s="235" t="s">
        <v>29</v>
      </c>
      <c r="BO50" s="235"/>
      <c r="BP50" s="241"/>
      <c r="BQ50" s="219" t="s">
        <v>7</v>
      </c>
      <c r="BR50" s="219" t="s">
        <v>137</v>
      </c>
      <c r="BS50" s="219" t="s">
        <v>10</v>
      </c>
      <c r="BT50" s="218" t="s">
        <v>66</v>
      </c>
      <c r="BU50" s="234" t="s">
        <v>9</v>
      </c>
      <c r="BV50" s="235"/>
      <c r="BW50" s="235"/>
      <c r="BX50" s="236"/>
    </row>
    <row r="51" spans="3:76" ht="15.6" x14ac:dyDescent="0.3">
      <c r="C51" s="7" t="str">
        <f>C29</f>
        <v>WK-Kniebeuge</v>
      </c>
      <c r="D51" s="8">
        <v>3</v>
      </c>
      <c r="E51" s="8">
        <v>6</v>
      </c>
      <c r="F51" s="33">
        <f>(0.75*D10)-5</f>
        <v>-5</v>
      </c>
      <c r="G51" s="5" t="s">
        <v>3</v>
      </c>
      <c r="H51" s="34">
        <f>(0.75*D10)+5</f>
        <v>5</v>
      </c>
      <c r="I51" s="8">
        <v>8</v>
      </c>
      <c r="J51" s="8" t="s">
        <v>61</v>
      </c>
      <c r="K51" s="8"/>
      <c r="L51" s="185"/>
      <c r="M51" s="237"/>
      <c r="N51" s="238"/>
      <c r="O51" s="238"/>
      <c r="P51" s="239"/>
      <c r="R51" s="151" t="str">
        <f>R40</f>
        <v>WK-Bankdrücken</v>
      </c>
      <c r="S51" s="8">
        <v>3</v>
      </c>
      <c r="T51" s="8">
        <v>8</v>
      </c>
      <c r="U51" s="36">
        <f>(0.72*F10)-5</f>
        <v>-5</v>
      </c>
      <c r="V51" s="5" t="s">
        <v>3</v>
      </c>
      <c r="W51" s="34">
        <f>(0.72*F10)+5</f>
        <v>5</v>
      </c>
      <c r="X51" s="8">
        <v>8</v>
      </c>
      <c r="Y51" s="8" t="s">
        <v>62</v>
      </c>
      <c r="Z51" s="8"/>
      <c r="AA51" s="185"/>
      <c r="AB51" s="237"/>
      <c r="AC51" s="238"/>
      <c r="AD51" s="238"/>
      <c r="AE51" s="239"/>
      <c r="AG51" s="151" t="str">
        <f>AG18</f>
        <v>WK-Kreuzheben</v>
      </c>
      <c r="AH51" s="8">
        <v>3</v>
      </c>
      <c r="AI51" s="8">
        <v>5</v>
      </c>
      <c r="AJ51" s="33">
        <f>(0.78*H10)-5</f>
        <v>-5</v>
      </c>
      <c r="AK51" s="5" t="s">
        <v>3</v>
      </c>
      <c r="AL51" s="34">
        <f>(0.78*H10)+5</f>
        <v>5</v>
      </c>
      <c r="AM51" s="8">
        <v>8</v>
      </c>
      <c r="AN51" s="8" t="s">
        <v>40</v>
      </c>
      <c r="AO51" s="8"/>
      <c r="AP51" s="185"/>
      <c r="AQ51" s="237"/>
      <c r="AR51" s="238"/>
      <c r="AS51" s="238"/>
      <c r="AT51" s="239"/>
      <c r="AV51" s="151" t="str">
        <f>AV40</f>
        <v>Highbar Kniebeuge</v>
      </c>
      <c r="AW51" s="8">
        <v>4</v>
      </c>
      <c r="AX51" s="8">
        <v>7</v>
      </c>
      <c r="AY51" s="33">
        <f>(0.72*D13)-5</f>
        <v>-5</v>
      </c>
      <c r="AZ51" s="5" t="s">
        <v>3</v>
      </c>
      <c r="BA51" s="34">
        <f>(0.72*D13)+5</f>
        <v>5</v>
      </c>
      <c r="BB51" s="8">
        <v>8</v>
      </c>
      <c r="BC51" s="8" t="s">
        <v>63</v>
      </c>
      <c r="BD51" s="8"/>
      <c r="BE51" s="185"/>
      <c r="BF51" s="237"/>
      <c r="BG51" s="238"/>
      <c r="BH51" s="238"/>
      <c r="BI51" s="239"/>
      <c r="BJ51" s="28"/>
      <c r="BK51" s="193" t="s">
        <v>97</v>
      </c>
      <c r="BL51" s="8">
        <v>3</v>
      </c>
      <c r="BM51" s="8">
        <v>5</v>
      </c>
      <c r="BN51" s="33">
        <f>(0.78*F10)-5</f>
        <v>-5</v>
      </c>
      <c r="BO51" s="5" t="s">
        <v>3</v>
      </c>
      <c r="BP51" s="34">
        <f>(0.78*F10)+5</f>
        <v>5</v>
      </c>
      <c r="BQ51" s="8">
        <v>8</v>
      </c>
      <c r="BR51" s="8" t="s">
        <v>62</v>
      </c>
      <c r="BS51" s="8"/>
      <c r="BT51" s="185"/>
      <c r="BU51" s="237"/>
      <c r="BV51" s="238"/>
      <c r="BW51" s="238"/>
      <c r="BX51" s="239"/>
    </row>
    <row r="52" spans="3:76" ht="15.6" x14ac:dyDescent="0.3">
      <c r="C52" s="9" t="str">
        <f t="shared" ref="C52:C55" si="6">C30</f>
        <v>Kniebeuge - Variation</v>
      </c>
      <c r="D52" s="10">
        <v>3</v>
      </c>
      <c r="E52" s="10">
        <v>4</v>
      </c>
      <c r="F52" s="48">
        <f>IF(C30="2ct. WK-Kniebeuge",(D11*0.78)-5,(D12*0.78)-5)</f>
        <v>-5</v>
      </c>
      <c r="G52" s="4" t="s">
        <v>3</v>
      </c>
      <c r="H52" s="39">
        <f>IF(C30="2ct. WK-Kniebeuge",(D11*0.78)+5,(D12*0.78)+5)</f>
        <v>5</v>
      </c>
      <c r="I52" s="10">
        <v>7</v>
      </c>
      <c r="J52" s="10" t="s">
        <v>61</v>
      </c>
      <c r="K52" s="10"/>
      <c r="L52" s="186"/>
      <c r="M52" s="230"/>
      <c r="N52" s="231"/>
      <c r="O52" s="231"/>
      <c r="P52" s="232"/>
      <c r="R52" s="9" t="str">
        <f t="shared" ref="R52:R54" si="7">R41</f>
        <v>Latzug</v>
      </c>
      <c r="S52" s="10">
        <v>3</v>
      </c>
      <c r="T52" s="32" t="s">
        <v>41</v>
      </c>
      <c r="U52" s="37"/>
      <c r="V52" s="4" t="s">
        <v>3</v>
      </c>
      <c r="W52" s="39"/>
      <c r="X52" s="32" t="s">
        <v>34</v>
      </c>
      <c r="Y52" s="10"/>
      <c r="Z52" s="10"/>
      <c r="AA52" s="186"/>
      <c r="AB52" s="230"/>
      <c r="AC52" s="231"/>
      <c r="AD52" s="231"/>
      <c r="AE52" s="232"/>
      <c r="AG52" s="9" t="str">
        <f>AG30</f>
        <v>Bankdrücken - Variation</v>
      </c>
      <c r="AH52" s="10">
        <v>2</v>
      </c>
      <c r="AI52" s="10">
        <v>3</v>
      </c>
      <c r="AJ52" s="48">
        <f>IF(AG30="3ct. WK-Bankdrücken",(F11*0.8)-5,(F12*0.8)-5)</f>
        <v>-5</v>
      </c>
      <c r="AK52" s="4" t="s">
        <v>3</v>
      </c>
      <c r="AL52" s="39">
        <f>IF(AG30="3ct. WK-Bankdrücken",(F11*0.8)+5,(F12*0.8)+5)</f>
        <v>5</v>
      </c>
      <c r="AM52" s="10">
        <v>7</v>
      </c>
      <c r="AN52" s="10" t="s">
        <v>62</v>
      </c>
      <c r="AO52" s="10"/>
      <c r="AP52" s="186"/>
      <c r="AQ52" s="230"/>
      <c r="AR52" s="231"/>
      <c r="AS52" s="231"/>
      <c r="AT52" s="232"/>
      <c r="AV52" s="9" t="str">
        <f>AV41</f>
        <v>Kreuzheben - Variation</v>
      </c>
      <c r="AW52" s="10">
        <v>3</v>
      </c>
      <c r="AX52" s="10">
        <f>IF(AV52="Kreuzheben im Reißgriff",6,8)</f>
        <v>8</v>
      </c>
      <c r="AY52" s="74"/>
      <c r="AZ52" s="4" t="s">
        <v>3</v>
      </c>
      <c r="BA52" s="76"/>
      <c r="BB52" s="10">
        <v>8</v>
      </c>
      <c r="BC52" s="10" t="s">
        <v>58</v>
      </c>
      <c r="BD52" s="10"/>
      <c r="BE52" s="186"/>
      <c r="BF52" s="230"/>
      <c r="BG52" s="231"/>
      <c r="BH52" s="231"/>
      <c r="BI52" s="232"/>
      <c r="BJ52" s="28"/>
      <c r="BK52" s="194" t="s">
        <v>100</v>
      </c>
      <c r="BL52" s="10">
        <v>3</v>
      </c>
      <c r="BM52" s="10">
        <v>8</v>
      </c>
      <c r="BN52" s="48">
        <f>(0.71*F13)-5</f>
        <v>-5</v>
      </c>
      <c r="BO52" s="4" t="s">
        <v>3</v>
      </c>
      <c r="BP52" s="39">
        <f>(0.71*F13)+5</f>
        <v>5</v>
      </c>
      <c r="BQ52" s="10">
        <v>7</v>
      </c>
      <c r="BR52" s="10" t="s">
        <v>62</v>
      </c>
      <c r="BS52" s="10"/>
      <c r="BT52" s="186"/>
      <c r="BU52" s="230"/>
      <c r="BV52" s="231"/>
      <c r="BW52" s="231"/>
      <c r="BX52" s="232"/>
    </row>
    <row r="53" spans="3:76" ht="15.6" x14ac:dyDescent="0.3">
      <c r="C53" s="7" t="str">
        <f t="shared" si="6"/>
        <v>Rudern</v>
      </c>
      <c r="D53" s="8">
        <v>3</v>
      </c>
      <c r="E53" s="31" t="s">
        <v>28</v>
      </c>
      <c r="F53" s="33"/>
      <c r="G53" s="5" t="s">
        <v>3</v>
      </c>
      <c r="H53" s="34"/>
      <c r="I53" s="35" t="s">
        <v>34</v>
      </c>
      <c r="J53" s="8"/>
      <c r="K53" s="8"/>
      <c r="L53" s="185"/>
      <c r="M53" s="226"/>
      <c r="N53" s="227"/>
      <c r="O53" s="227"/>
      <c r="P53" s="228"/>
      <c r="R53" s="151" t="str">
        <f t="shared" si="7"/>
        <v>Oberkörper Drückbewegung</v>
      </c>
      <c r="S53" s="8">
        <v>3</v>
      </c>
      <c r="T53" s="8">
        <f>IF(OR(R31="Dips",R20="LH Schulterdrücken"),5,8)</f>
        <v>8</v>
      </c>
      <c r="U53" s="36"/>
      <c r="V53" s="5" t="s">
        <v>3</v>
      </c>
      <c r="W53" s="34"/>
      <c r="X53" s="8">
        <v>8</v>
      </c>
      <c r="Y53" s="8"/>
      <c r="Z53" s="8"/>
      <c r="AA53" s="185"/>
      <c r="AB53" s="226"/>
      <c r="AC53" s="227"/>
      <c r="AD53" s="227"/>
      <c r="AE53" s="228"/>
      <c r="AG53" s="7" t="str">
        <f>AG31</f>
        <v>Unterkörperübung, unilateral</v>
      </c>
      <c r="AH53" s="8">
        <v>3</v>
      </c>
      <c r="AI53" s="8">
        <v>10</v>
      </c>
      <c r="AJ53" s="33"/>
      <c r="AK53" s="5" t="s">
        <v>3</v>
      </c>
      <c r="AL53" s="34"/>
      <c r="AM53" s="8">
        <v>8</v>
      </c>
      <c r="AN53" s="8"/>
      <c r="AO53" s="8"/>
      <c r="AP53" s="185"/>
      <c r="AQ53" s="226"/>
      <c r="AR53" s="227"/>
      <c r="AS53" s="227"/>
      <c r="AT53" s="228"/>
      <c r="AV53" s="151" t="str">
        <f t="shared" ref="AV53:AV55" si="8">AV42</f>
        <v>Latzug</v>
      </c>
      <c r="AW53" s="8">
        <v>3</v>
      </c>
      <c r="AX53" s="35" t="s">
        <v>28</v>
      </c>
      <c r="AY53" s="44"/>
      <c r="AZ53" s="5" t="s">
        <v>3</v>
      </c>
      <c r="BA53" s="45"/>
      <c r="BB53" s="35" t="s">
        <v>34</v>
      </c>
      <c r="BC53" s="8"/>
      <c r="BD53" s="8"/>
      <c r="BE53" s="185"/>
      <c r="BF53" s="226"/>
      <c r="BG53" s="227"/>
      <c r="BH53" s="227"/>
      <c r="BI53" s="228"/>
      <c r="BJ53" s="28"/>
      <c r="BK53" s="7" t="str">
        <f>BK31</f>
        <v>Oberkörper Drückbewegung</v>
      </c>
      <c r="BL53" s="8">
        <v>2</v>
      </c>
      <c r="BM53" s="8" t="str">
        <f>IF(OR(BK53="Dips",BK53="Military Press"),"6-8","10-12")</f>
        <v>10-12</v>
      </c>
      <c r="BN53" s="33"/>
      <c r="BO53" s="5" t="s">
        <v>3</v>
      </c>
      <c r="BP53" s="34"/>
      <c r="BQ53" s="35" t="s">
        <v>34</v>
      </c>
      <c r="BR53" s="8"/>
      <c r="BS53" s="8"/>
      <c r="BT53" s="185"/>
      <c r="BU53" s="226"/>
      <c r="BV53" s="227"/>
      <c r="BW53" s="227"/>
      <c r="BX53" s="228"/>
    </row>
    <row r="54" spans="3:76" ht="15.6" x14ac:dyDescent="0.3">
      <c r="C54" s="9" t="str">
        <f t="shared" si="6"/>
        <v>Beinbeuger</v>
      </c>
      <c r="D54" s="10">
        <v>3</v>
      </c>
      <c r="E54" s="32" t="s">
        <v>28</v>
      </c>
      <c r="F54" s="48"/>
      <c r="G54" s="4" t="s">
        <v>3</v>
      </c>
      <c r="H54" s="39"/>
      <c r="I54" s="32" t="s">
        <v>34</v>
      </c>
      <c r="J54" s="10"/>
      <c r="K54" s="10"/>
      <c r="L54" s="186"/>
      <c r="M54" s="230"/>
      <c r="N54" s="231"/>
      <c r="O54" s="231"/>
      <c r="P54" s="232"/>
      <c r="R54" s="9" t="str">
        <f t="shared" si="7"/>
        <v>Hintere Schulter</v>
      </c>
      <c r="S54" s="10">
        <v>4</v>
      </c>
      <c r="T54" s="32" t="s">
        <v>36</v>
      </c>
      <c r="U54" s="37"/>
      <c r="V54" s="4" t="s">
        <v>3</v>
      </c>
      <c r="W54" s="39"/>
      <c r="X54" s="32" t="s">
        <v>34</v>
      </c>
      <c r="Y54" s="10"/>
      <c r="Z54" s="10"/>
      <c r="AA54" s="186"/>
      <c r="AB54" s="230"/>
      <c r="AC54" s="231"/>
      <c r="AD54" s="231"/>
      <c r="AE54" s="232"/>
      <c r="AG54" s="9" t="s">
        <v>21</v>
      </c>
      <c r="AH54" s="32" t="s">
        <v>39</v>
      </c>
      <c r="AI54" s="32" t="s">
        <v>38</v>
      </c>
      <c r="AJ54" s="48"/>
      <c r="AK54" s="4" t="s">
        <v>3</v>
      </c>
      <c r="AL54" s="39"/>
      <c r="AM54" s="32" t="s">
        <v>34</v>
      </c>
      <c r="AN54" s="10"/>
      <c r="AO54" s="10"/>
      <c r="AP54" s="186"/>
      <c r="AQ54" s="230"/>
      <c r="AR54" s="231"/>
      <c r="AS54" s="231"/>
      <c r="AT54" s="232"/>
      <c r="AV54" s="9" t="str">
        <f t="shared" si="8"/>
        <v>Hip Thrusts</v>
      </c>
      <c r="AW54" s="10">
        <v>3</v>
      </c>
      <c r="AX54" s="10">
        <v>8</v>
      </c>
      <c r="AY54" s="74"/>
      <c r="AZ54" s="4" t="s">
        <v>3</v>
      </c>
      <c r="BA54" s="76"/>
      <c r="BB54" s="10">
        <v>8</v>
      </c>
      <c r="BC54" s="10"/>
      <c r="BD54" s="10"/>
      <c r="BE54" s="186"/>
      <c r="BF54" s="230"/>
      <c r="BG54" s="231"/>
      <c r="BH54" s="231"/>
      <c r="BI54" s="232"/>
      <c r="BJ54" s="28"/>
      <c r="BK54" s="9" t="str">
        <f>BK32</f>
        <v>Rudern</v>
      </c>
      <c r="BL54" s="10">
        <v>3</v>
      </c>
      <c r="BM54" s="10" t="str">
        <f>IF(OR(BK54="Pendlay Rudern"),"6","8-10")</f>
        <v>8-10</v>
      </c>
      <c r="BN54" s="48"/>
      <c r="BO54" s="4" t="s">
        <v>3</v>
      </c>
      <c r="BP54" s="39"/>
      <c r="BQ54" s="10">
        <v>8</v>
      </c>
      <c r="BR54" s="10"/>
      <c r="BS54" s="10"/>
      <c r="BT54" s="186"/>
      <c r="BU54" s="230"/>
      <c r="BV54" s="231"/>
      <c r="BW54" s="231"/>
      <c r="BX54" s="232"/>
    </row>
    <row r="55" spans="3:76" ht="15.6" x14ac:dyDescent="0.3">
      <c r="C55" s="7" t="str">
        <f t="shared" si="6"/>
        <v>Optional: Unterarmstütz/Ab Roll</v>
      </c>
      <c r="D55" s="8">
        <v>3</v>
      </c>
      <c r="E55" s="8"/>
      <c r="F55" s="33"/>
      <c r="G55" s="5" t="s">
        <v>3</v>
      </c>
      <c r="H55" s="34"/>
      <c r="I55" s="8"/>
      <c r="J55" s="8"/>
      <c r="K55" s="8"/>
      <c r="L55" s="185"/>
      <c r="M55" s="226"/>
      <c r="N55" s="227"/>
      <c r="O55" s="227"/>
      <c r="P55" s="228"/>
      <c r="R55" s="7"/>
      <c r="S55" s="8"/>
      <c r="T55" s="8"/>
      <c r="U55" s="36"/>
      <c r="V55" s="5" t="s">
        <v>3</v>
      </c>
      <c r="W55" s="34"/>
      <c r="X55" s="8"/>
      <c r="Y55" s="8"/>
      <c r="Z55" s="8"/>
      <c r="AA55" s="185"/>
      <c r="AB55" s="226"/>
      <c r="AC55" s="227"/>
      <c r="AD55" s="227"/>
      <c r="AE55" s="228"/>
      <c r="AG55" s="7" t="s">
        <v>22</v>
      </c>
      <c r="AH55" s="35" t="s">
        <v>39</v>
      </c>
      <c r="AI55" s="35" t="s">
        <v>38</v>
      </c>
      <c r="AJ55" s="33"/>
      <c r="AK55" s="5" t="s">
        <v>3</v>
      </c>
      <c r="AL55" s="34"/>
      <c r="AM55" s="35" t="s">
        <v>34</v>
      </c>
      <c r="AN55" s="8"/>
      <c r="AO55" s="8"/>
      <c r="AP55" s="185"/>
      <c r="AQ55" s="226"/>
      <c r="AR55" s="227"/>
      <c r="AS55" s="227"/>
      <c r="AT55" s="228"/>
      <c r="AV55" s="151" t="str">
        <f t="shared" si="8"/>
        <v>Optional: Unterarmstütz/Ab Roll</v>
      </c>
      <c r="AW55" s="8">
        <v>3</v>
      </c>
      <c r="AX55" s="8"/>
      <c r="AY55" s="44"/>
      <c r="AZ55" s="5" t="s">
        <v>3</v>
      </c>
      <c r="BA55" s="45"/>
      <c r="BB55" s="8"/>
      <c r="BC55" s="8"/>
      <c r="BD55" s="8"/>
      <c r="BE55" s="185"/>
      <c r="BF55" s="226"/>
      <c r="BG55" s="227"/>
      <c r="BH55" s="227"/>
      <c r="BI55" s="228"/>
      <c r="BJ55" s="28"/>
      <c r="BK55" s="7" t="str">
        <f>BK33</f>
        <v>Hintere Schulter</v>
      </c>
      <c r="BL55" s="8">
        <v>3</v>
      </c>
      <c r="BM55" s="35" t="s">
        <v>28</v>
      </c>
      <c r="BN55" s="33"/>
      <c r="BO55" s="5" t="s">
        <v>3</v>
      </c>
      <c r="BP55" s="34"/>
      <c r="BQ55" s="35" t="s">
        <v>34</v>
      </c>
      <c r="BR55" s="8"/>
      <c r="BS55" s="8"/>
      <c r="BT55" s="185"/>
      <c r="BU55" s="226"/>
      <c r="BV55" s="227"/>
      <c r="BW55" s="227"/>
      <c r="BX55" s="228"/>
    </row>
    <row r="56" spans="3:76" ht="15.6" x14ac:dyDescent="0.3">
      <c r="C56" s="9"/>
      <c r="D56" s="10"/>
      <c r="E56" s="10"/>
      <c r="F56" s="48"/>
      <c r="G56" s="4" t="s">
        <v>3</v>
      </c>
      <c r="H56" s="39"/>
      <c r="I56" s="10"/>
      <c r="J56" s="10"/>
      <c r="K56" s="10"/>
      <c r="L56" s="186"/>
      <c r="M56" s="230"/>
      <c r="N56" s="231"/>
      <c r="O56" s="231"/>
      <c r="P56" s="232"/>
      <c r="R56" s="9"/>
      <c r="S56" s="10"/>
      <c r="T56" s="10"/>
      <c r="U56" s="37"/>
      <c r="V56" s="4" t="s">
        <v>3</v>
      </c>
      <c r="W56" s="39"/>
      <c r="X56" s="10"/>
      <c r="Y56" s="10"/>
      <c r="Z56" s="10"/>
      <c r="AA56" s="186"/>
      <c r="AB56" s="230"/>
      <c r="AC56" s="231"/>
      <c r="AD56" s="231"/>
      <c r="AE56" s="232"/>
      <c r="AG56" s="9"/>
      <c r="AH56" s="10"/>
      <c r="AI56" s="10"/>
      <c r="AJ56" s="48"/>
      <c r="AK56" s="4" t="s">
        <v>3</v>
      </c>
      <c r="AL56" s="39"/>
      <c r="AM56" s="10"/>
      <c r="AN56" s="10"/>
      <c r="AO56" s="10"/>
      <c r="AP56" s="186"/>
      <c r="AQ56" s="230"/>
      <c r="AR56" s="231"/>
      <c r="AS56" s="231"/>
      <c r="AT56" s="232"/>
      <c r="AV56" s="9"/>
      <c r="AW56" s="10"/>
      <c r="AX56" s="10"/>
      <c r="AY56" s="74"/>
      <c r="AZ56" s="4" t="s">
        <v>3</v>
      </c>
      <c r="BA56" s="76"/>
      <c r="BB56" s="10"/>
      <c r="BC56" s="10"/>
      <c r="BD56" s="10"/>
      <c r="BE56" s="186"/>
      <c r="BF56" s="230"/>
      <c r="BG56" s="231"/>
      <c r="BH56" s="231"/>
      <c r="BI56" s="232"/>
      <c r="BJ56" s="28"/>
      <c r="BK56" s="9"/>
      <c r="BL56" s="10"/>
      <c r="BM56" s="10"/>
      <c r="BN56" s="48"/>
      <c r="BO56" s="4" t="s">
        <v>3</v>
      </c>
      <c r="BP56" s="39"/>
      <c r="BQ56" s="10"/>
      <c r="BR56" s="10"/>
      <c r="BS56" s="10"/>
      <c r="BT56" s="186"/>
      <c r="BU56" s="230"/>
      <c r="BV56" s="231"/>
      <c r="BW56" s="231"/>
      <c r="BX56" s="232"/>
    </row>
    <row r="57" spans="3:76" ht="16.2" thickBot="1" x14ac:dyDescent="0.35">
      <c r="C57" s="11"/>
      <c r="D57" s="12"/>
      <c r="E57" s="12"/>
      <c r="F57" s="49"/>
      <c r="G57" s="6" t="s">
        <v>3</v>
      </c>
      <c r="H57" s="40"/>
      <c r="I57" s="12"/>
      <c r="J57" s="12"/>
      <c r="K57" s="12"/>
      <c r="L57" s="187"/>
      <c r="M57" s="220"/>
      <c r="N57" s="221"/>
      <c r="O57" s="221"/>
      <c r="P57" s="222"/>
      <c r="R57" s="11"/>
      <c r="S57" s="12"/>
      <c r="T57" s="12"/>
      <c r="U57" s="38"/>
      <c r="V57" s="6" t="s">
        <v>3</v>
      </c>
      <c r="W57" s="40"/>
      <c r="X57" s="12"/>
      <c r="Y57" s="12"/>
      <c r="Z57" s="12"/>
      <c r="AA57" s="187"/>
      <c r="AB57" s="220"/>
      <c r="AC57" s="221"/>
      <c r="AD57" s="221"/>
      <c r="AE57" s="222"/>
      <c r="AG57" s="11"/>
      <c r="AH57" s="12"/>
      <c r="AI57" s="12"/>
      <c r="AJ57" s="49"/>
      <c r="AK57" s="6" t="s">
        <v>3</v>
      </c>
      <c r="AL57" s="40"/>
      <c r="AM57" s="12"/>
      <c r="AN57" s="12"/>
      <c r="AO57" s="12"/>
      <c r="AP57" s="187"/>
      <c r="AQ57" s="220"/>
      <c r="AR57" s="221"/>
      <c r="AS57" s="221"/>
      <c r="AT57" s="222"/>
      <c r="AV57" s="11"/>
      <c r="AW57" s="12"/>
      <c r="AX57" s="12"/>
      <c r="AY57" s="75"/>
      <c r="AZ57" s="6" t="s">
        <v>3</v>
      </c>
      <c r="BA57" s="77"/>
      <c r="BB57" s="12"/>
      <c r="BC57" s="12"/>
      <c r="BD57" s="12"/>
      <c r="BE57" s="187"/>
      <c r="BF57" s="220"/>
      <c r="BG57" s="221"/>
      <c r="BH57" s="221"/>
      <c r="BI57" s="222"/>
      <c r="BJ57" s="28"/>
      <c r="BK57" s="11"/>
      <c r="BL57" s="12"/>
      <c r="BM57" s="12"/>
      <c r="BN57" s="49"/>
      <c r="BO57" s="6" t="s">
        <v>3</v>
      </c>
      <c r="BP57" s="40"/>
      <c r="BQ57" s="12"/>
      <c r="BR57" s="12"/>
      <c r="BS57" s="12"/>
      <c r="BT57" s="187"/>
      <c r="BU57" s="220"/>
      <c r="BV57" s="221"/>
      <c r="BW57" s="221"/>
      <c r="BX57" s="222"/>
    </row>
    <row r="59" spans="3:76" ht="15" thickBot="1" x14ac:dyDescent="0.35"/>
    <row r="60" spans="3:76" ht="24" thickBot="1" x14ac:dyDescent="0.35">
      <c r="C60" s="102" t="s">
        <v>12</v>
      </c>
      <c r="D60" s="1"/>
      <c r="E60" s="1"/>
      <c r="F60" s="47"/>
      <c r="G60" s="1"/>
      <c r="H60" s="50"/>
      <c r="I60" s="165" t="s">
        <v>5</v>
      </c>
      <c r="J60" s="78">
        <f>(((K62*(E62+(10-L62))*0.029))+K62)</f>
        <v>0</v>
      </c>
      <c r="K60" s="1"/>
      <c r="L60" s="1"/>
      <c r="M60" s="1"/>
      <c r="N60" s="1"/>
      <c r="O60" s="1"/>
      <c r="P60" s="1"/>
      <c r="AA60" s="1"/>
      <c r="AM60" s="165" t="s">
        <v>5</v>
      </c>
      <c r="AN60" s="78">
        <f>(((AO62*(AI62+(10-AP62))*0.029))+AO62)</f>
        <v>0</v>
      </c>
      <c r="AP60" s="1"/>
      <c r="BE60" s="1"/>
      <c r="BQ60" s="165" t="s">
        <v>5</v>
      </c>
      <c r="BR60" s="78">
        <f>(((BS62*(BM62+(10-BT62))*0.029))+BS62)</f>
        <v>0</v>
      </c>
      <c r="BT60" s="1"/>
    </row>
    <row r="61" spans="3:76" ht="18.600000000000001" thickBot="1" x14ac:dyDescent="0.4">
      <c r="C61" s="130" t="s">
        <v>118</v>
      </c>
      <c r="D61" s="219" t="s">
        <v>136</v>
      </c>
      <c r="E61" s="219" t="s">
        <v>56</v>
      </c>
      <c r="F61" s="235" t="s">
        <v>29</v>
      </c>
      <c r="G61" s="235"/>
      <c r="H61" s="241"/>
      <c r="I61" s="219" t="s">
        <v>7</v>
      </c>
      <c r="J61" s="219" t="s">
        <v>137</v>
      </c>
      <c r="K61" s="219" t="s">
        <v>10</v>
      </c>
      <c r="L61" s="218" t="s">
        <v>66</v>
      </c>
      <c r="M61" s="234" t="s">
        <v>9</v>
      </c>
      <c r="N61" s="235"/>
      <c r="O61" s="235"/>
      <c r="P61" s="236"/>
      <c r="R61" s="130" t="s">
        <v>122</v>
      </c>
      <c r="S61" s="219" t="s">
        <v>136</v>
      </c>
      <c r="T61" s="219" t="s">
        <v>56</v>
      </c>
      <c r="U61" s="235" t="s">
        <v>29</v>
      </c>
      <c r="V61" s="235"/>
      <c r="W61" s="241"/>
      <c r="X61" s="219" t="s">
        <v>7</v>
      </c>
      <c r="Y61" s="219" t="s">
        <v>137</v>
      </c>
      <c r="Z61" s="219" t="s">
        <v>10</v>
      </c>
      <c r="AA61" s="218" t="s">
        <v>66</v>
      </c>
      <c r="AB61" s="234" t="s">
        <v>9</v>
      </c>
      <c r="AC61" s="235"/>
      <c r="AD61" s="235"/>
      <c r="AE61" s="236"/>
      <c r="AG61" s="130" t="s">
        <v>126</v>
      </c>
      <c r="AH61" s="219" t="s">
        <v>136</v>
      </c>
      <c r="AI61" s="219" t="s">
        <v>56</v>
      </c>
      <c r="AJ61" s="235" t="s">
        <v>29</v>
      </c>
      <c r="AK61" s="235"/>
      <c r="AL61" s="241"/>
      <c r="AM61" s="219" t="s">
        <v>7</v>
      </c>
      <c r="AN61" s="219" t="s">
        <v>137</v>
      </c>
      <c r="AO61" s="219" t="s">
        <v>10</v>
      </c>
      <c r="AP61" s="218" t="s">
        <v>66</v>
      </c>
      <c r="AQ61" s="234" t="s">
        <v>9</v>
      </c>
      <c r="AR61" s="235"/>
      <c r="AS61" s="235"/>
      <c r="AT61" s="236"/>
      <c r="AV61" s="130" t="s">
        <v>130</v>
      </c>
      <c r="AW61" s="219" t="s">
        <v>136</v>
      </c>
      <c r="AX61" s="219" t="s">
        <v>56</v>
      </c>
      <c r="AY61" s="235" t="s">
        <v>29</v>
      </c>
      <c r="AZ61" s="235"/>
      <c r="BA61" s="241"/>
      <c r="BB61" s="219" t="s">
        <v>7</v>
      </c>
      <c r="BC61" s="219" t="s">
        <v>137</v>
      </c>
      <c r="BD61" s="219" t="s">
        <v>10</v>
      </c>
      <c r="BE61" s="218" t="s">
        <v>66</v>
      </c>
      <c r="BF61" s="234" t="s">
        <v>9</v>
      </c>
      <c r="BG61" s="235"/>
      <c r="BH61" s="235"/>
      <c r="BI61" s="236"/>
      <c r="BJ61" s="29"/>
      <c r="BK61" s="190" t="s">
        <v>134</v>
      </c>
      <c r="BL61" s="219" t="s">
        <v>136</v>
      </c>
      <c r="BM61" s="219" t="s">
        <v>56</v>
      </c>
      <c r="BN61" s="235" t="s">
        <v>29</v>
      </c>
      <c r="BO61" s="235"/>
      <c r="BP61" s="241"/>
      <c r="BQ61" s="219" t="s">
        <v>7</v>
      </c>
      <c r="BR61" s="219" t="s">
        <v>137</v>
      </c>
      <c r="BS61" s="219" t="s">
        <v>10</v>
      </c>
      <c r="BT61" s="218" t="s">
        <v>66</v>
      </c>
      <c r="BU61" s="234" t="s">
        <v>9</v>
      </c>
      <c r="BV61" s="235"/>
      <c r="BW61" s="235"/>
      <c r="BX61" s="236"/>
    </row>
    <row r="62" spans="3:76" ht="15.6" x14ac:dyDescent="0.3">
      <c r="C62" s="151" t="str">
        <f>C29</f>
        <v>WK-Kniebeuge</v>
      </c>
      <c r="D62" s="8">
        <v>1</v>
      </c>
      <c r="E62" s="8">
        <v>6</v>
      </c>
      <c r="F62" s="33">
        <f>(0.815*D10)-5</f>
        <v>-5</v>
      </c>
      <c r="G62" s="5" t="s">
        <v>3</v>
      </c>
      <c r="H62" s="34">
        <f>(0.815*D10)+5</f>
        <v>5</v>
      </c>
      <c r="I62" s="8">
        <v>9</v>
      </c>
      <c r="J62" s="8" t="s">
        <v>61</v>
      </c>
      <c r="K62" s="8"/>
      <c r="L62" s="185"/>
      <c r="M62" s="237"/>
      <c r="N62" s="238"/>
      <c r="O62" s="238"/>
      <c r="P62" s="239"/>
      <c r="R62" s="151" t="str">
        <f>R40</f>
        <v>WK-Bankdrücken</v>
      </c>
      <c r="S62" s="8">
        <v>3</v>
      </c>
      <c r="T62" s="8">
        <v>8</v>
      </c>
      <c r="U62" s="33">
        <f>(0.74*F10)-5</f>
        <v>-5</v>
      </c>
      <c r="V62" s="5" t="s">
        <v>3</v>
      </c>
      <c r="W62" s="34">
        <f>(0.74*F10)+5</f>
        <v>5</v>
      </c>
      <c r="X62" s="8">
        <v>9</v>
      </c>
      <c r="Y62" s="8" t="s">
        <v>62</v>
      </c>
      <c r="Z62" s="8"/>
      <c r="AA62" s="185"/>
      <c r="AB62" s="237"/>
      <c r="AC62" s="238"/>
      <c r="AD62" s="238"/>
      <c r="AE62" s="239"/>
      <c r="AG62" s="151" t="str">
        <f>AG18</f>
        <v>WK-Kreuzheben</v>
      </c>
      <c r="AH62" s="8">
        <v>1</v>
      </c>
      <c r="AI62" s="8">
        <v>5</v>
      </c>
      <c r="AJ62" s="33">
        <f>(0.835*H10)-5</f>
        <v>-5</v>
      </c>
      <c r="AK62" s="5" t="s">
        <v>3</v>
      </c>
      <c r="AL62" s="34">
        <f>(0.835*H10)+5</f>
        <v>5</v>
      </c>
      <c r="AM62" s="8">
        <v>9</v>
      </c>
      <c r="AN62" s="8" t="s">
        <v>40</v>
      </c>
      <c r="AO62" s="8"/>
      <c r="AP62" s="185"/>
      <c r="AQ62" s="237"/>
      <c r="AR62" s="238"/>
      <c r="AS62" s="238"/>
      <c r="AT62" s="239"/>
      <c r="AV62" s="151" t="str">
        <f>AV18</f>
        <v>Highbar Kniebeuge</v>
      </c>
      <c r="AW62" s="8">
        <v>4</v>
      </c>
      <c r="AX62" s="8">
        <v>7</v>
      </c>
      <c r="AY62" s="33">
        <f>(0.74*D13)-5</f>
        <v>-5</v>
      </c>
      <c r="AZ62" s="5" t="s">
        <v>3</v>
      </c>
      <c r="BA62" s="34">
        <f>(0.74*D13)+5</f>
        <v>5</v>
      </c>
      <c r="BB62" s="8">
        <v>9</v>
      </c>
      <c r="BC62" s="8" t="s">
        <v>63</v>
      </c>
      <c r="BD62" s="8"/>
      <c r="BE62" s="185"/>
      <c r="BF62" s="237"/>
      <c r="BG62" s="238"/>
      <c r="BH62" s="238"/>
      <c r="BI62" s="239"/>
      <c r="BJ62" s="28"/>
      <c r="BK62" s="193" t="s">
        <v>97</v>
      </c>
      <c r="BL62" s="8">
        <v>1</v>
      </c>
      <c r="BM62" s="8">
        <v>5</v>
      </c>
      <c r="BN62" s="33">
        <f>(0.835*F10)-5</f>
        <v>-5</v>
      </c>
      <c r="BO62" s="5" t="s">
        <v>3</v>
      </c>
      <c r="BP62" s="34">
        <f>(0.835*F10)+5</f>
        <v>5</v>
      </c>
      <c r="BQ62" s="8">
        <v>9</v>
      </c>
      <c r="BR62" s="8" t="s">
        <v>62</v>
      </c>
      <c r="BS62" s="8"/>
      <c r="BT62" s="185"/>
      <c r="BU62" s="237"/>
      <c r="BV62" s="238"/>
      <c r="BW62" s="238"/>
      <c r="BX62" s="239"/>
    </row>
    <row r="63" spans="3:76" ht="15.6" x14ac:dyDescent="0.3">
      <c r="C63" s="43" t="str">
        <f>C29</f>
        <v>WK-Kniebeuge</v>
      </c>
      <c r="D63" s="8">
        <v>3</v>
      </c>
      <c r="E63" s="8">
        <v>6</v>
      </c>
      <c r="F63" s="242" t="s">
        <v>33</v>
      </c>
      <c r="G63" s="243"/>
      <c r="H63" s="244"/>
      <c r="I63" s="35" t="s">
        <v>34</v>
      </c>
      <c r="J63" s="8" t="s">
        <v>61</v>
      </c>
      <c r="K63" s="8"/>
      <c r="L63" s="185"/>
      <c r="M63" s="226"/>
      <c r="N63" s="227"/>
      <c r="O63" s="227"/>
      <c r="P63" s="228"/>
      <c r="R63" s="151"/>
      <c r="S63" s="8"/>
      <c r="T63" s="8"/>
      <c r="U63" s="33"/>
      <c r="V63" s="5" t="s">
        <v>3</v>
      </c>
      <c r="W63" s="34"/>
      <c r="X63" s="8"/>
      <c r="Y63" s="8"/>
      <c r="Z63" s="8"/>
      <c r="AA63" s="185"/>
      <c r="AB63" s="226"/>
      <c r="AC63" s="227"/>
      <c r="AD63" s="227"/>
      <c r="AE63" s="228"/>
      <c r="AG63" s="151" t="s">
        <v>98</v>
      </c>
      <c r="AH63" s="8">
        <v>3</v>
      </c>
      <c r="AI63" s="8">
        <v>5</v>
      </c>
      <c r="AJ63" s="242" t="s">
        <v>33</v>
      </c>
      <c r="AK63" s="243"/>
      <c r="AL63" s="244"/>
      <c r="AM63" s="35" t="s">
        <v>34</v>
      </c>
      <c r="AN63" s="8" t="s">
        <v>40</v>
      </c>
      <c r="AO63" s="8"/>
      <c r="AP63" s="185"/>
      <c r="AQ63" s="226"/>
      <c r="AR63" s="227"/>
      <c r="AS63" s="227"/>
      <c r="AT63" s="228"/>
      <c r="AV63" s="9" t="str">
        <f>AV41</f>
        <v>Kreuzheben - Variation</v>
      </c>
      <c r="AW63" s="10">
        <v>3</v>
      </c>
      <c r="AX63" s="10">
        <f>IF(AV63="Kreuzheben im Reißgriff",6,8)</f>
        <v>8</v>
      </c>
      <c r="AY63" s="183"/>
      <c r="AZ63" s="4" t="s">
        <v>3</v>
      </c>
      <c r="BA63" s="184"/>
      <c r="BB63" s="10">
        <v>9</v>
      </c>
      <c r="BC63" s="10" t="s">
        <v>58</v>
      </c>
      <c r="BD63" s="10"/>
      <c r="BE63" s="186"/>
      <c r="BF63" s="230"/>
      <c r="BG63" s="231"/>
      <c r="BH63" s="231"/>
      <c r="BI63" s="232"/>
      <c r="BK63" s="151" t="s">
        <v>97</v>
      </c>
      <c r="BL63" s="8">
        <v>3</v>
      </c>
      <c r="BM63" s="8">
        <v>5</v>
      </c>
      <c r="BN63" s="242" t="s">
        <v>33</v>
      </c>
      <c r="BO63" s="243"/>
      <c r="BP63" s="244"/>
      <c r="BQ63" s="35" t="s">
        <v>34</v>
      </c>
      <c r="BR63" s="8" t="s">
        <v>62</v>
      </c>
      <c r="BS63" s="72"/>
      <c r="BT63" s="189"/>
      <c r="BU63" s="70"/>
      <c r="BV63" s="70"/>
      <c r="BW63" s="70"/>
      <c r="BX63" s="71"/>
    </row>
    <row r="64" spans="3:76" ht="15.6" x14ac:dyDescent="0.3">
      <c r="C64" s="9" t="str">
        <f>C30</f>
        <v>Kniebeuge - Variation</v>
      </c>
      <c r="D64" s="10">
        <v>2</v>
      </c>
      <c r="E64" s="10">
        <v>4</v>
      </c>
      <c r="F64" s="48">
        <f>IF(C30="2ct. WK-Kniebeuge",(D11*0.8)-5,(D12*0.8)-5)</f>
        <v>-5</v>
      </c>
      <c r="G64" s="4" t="s">
        <v>3</v>
      </c>
      <c r="H64" s="39">
        <f>IF(C30="2ct. WK-Kniebeuge",(D11*0.8)+5,(D12*0.8)+5)</f>
        <v>5</v>
      </c>
      <c r="I64" s="10">
        <v>8</v>
      </c>
      <c r="J64" s="10" t="s">
        <v>61</v>
      </c>
      <c r="K64" s="10"/>
      <c r="L64" s="186"/>
      <c r="M64" s="230"/>
      <c r="N64" s="231"/>
      <c r="O64" s="231"/>
      <c r="P64" s="232"/>
      <c r="R64" s="9" t="str">
        <f>R41</f>
        <v>Latzug</v>
      </c>
      <c r="S64" s="10">
        <v>3</v>
      </c>
      <c r="T64" s="32" t="s">
        <v>41</v>
      </c>
      <c r="U64" s="183"/>
      <c r="V64" s="4" t="s">
        <v>3</v>
      </c>
      <c r="W64" s="184"/>
      <c r="X64" s="32" t="s">
        <v>34</v>
      </c>
      <c r="Y64" s="10"/>
      <c r="Z64" s="10"/>
      <c r="AA64" s="186"/>
      <c r="AB64" s="230"/>
      <c r="AC64" s="231"/>
      <c r="AD64" s="231"/>
      <c r="AE64" s="232"/>
      <c r="AG64" s="9" t="str">
        <f>AG30</f>
        <v>Bankdrücken - Variation</v>
      </c>
      <c r="AH64" s="10">
        <v>3</v>
      </c>
      <c r="AI64" s="10">
        <v>3</v>
      </c>
      <c r="AJ64" s="48">
        <f>IF(AG30="3ct. WK-Bankdrücken",(F11*0.83)-5,(F12*0.83)-5)</f>
        <v>-5</v>
      </c>
      <c r="AK64" s="4" t="s">
        <v>3</v>
      </c>
      <c r="AL64" s="39">
        <f>IF(AG30="3ct. WK-Bankdrücken",(F11*0.83)+5,(F12*0.83)+5)</f>
        <v>5</v>
      </c>
      <c r="AM64" s="10">
        <v>8</v>
      </c>
      <c r="AN64" s="10" t="s">
        <v>62</v>
      </c>
      <c r="AO64" s="10"/>
      <c r="AP64" s="186"/>
      <c r="AQ64" s="230"/>
      <c r="AR64" s="231"/>
      <c r="AS64" s="231"/>
      <c r="AT64" s="232"/>
      <c r="AV64" s="151" t="str">
        <f>AV42</f>
        <v>Latzug</v>
      </c>
      <c r="AW64" s="8">
        <v>3</v>
      </c>
      <c r="AX64" s="35" t="s">
        <v>28</v>
      </c>
      <c r="AY64" s="178"/>
      <c r="AZ64" s="5" t="s">
        <v>3</v>
      </c>
      <c r="BA64" s="179"/>
      <c r="BB64" s="35" t="s">
        <v>34</v>
      </c>
      <c r="BC64" s="8"/>
      <c r="BD64" s="8"/>
      <c r="BE64" s="185"/>
      <c r="BF64" s="226"/>
      <c r="BG64" s="227"/>
      <c r="BH64" s="227"/>
      <c r="BI64" s="228"/>
      <c r="BJ64" s="28"/>
      <c r="BK64" s="9" t="s">
        <v>100</v>
      </c>
      <c r="BL64" s="10">
        <v>2</v>
      </c>
      <c r="BM64" s="10">
        <v>8</v>
      </c>
      <c r="BN64" s="48">
        <f>(0.73*F13)-5</f>
        <v>-5</v>
      </c>
      <c r="BO64" s="4" t="s">
        <v>3</v>
      </c>
      <c r="BP64" s="39">
        <f>(0.73*F13)+5</f>
        <v>5</v>
      </c>
      <c r="BQ64" s="10">
        <v>8</v>
      </c>
      <c r="BR64" s="10" t="s">
        <v>62</v>
      </c>
      <c r="BS64" s="10"/>
      <c r="BT64" s="186"/>
      <c r="BU64" s="230"/>
      <c r="BV64" s="231"/>
      <c r="BW64" s="231"/>
      <c r="BX64" s="232"/>
    </row>
    <row r="65" spans="3:76" ht="15.6" x14ac:dyDescent="0.3">
      <c r="C65" s="151" t="str">
        <f>C31</f>
        <v>Rudern</v>
      </c>
      <c r="D65" s="8">
        <v>3</v>
      </c>
      <c r="E65" s="31" t="s">
        <v>28</v>
      </c>
      <c r="F65" s="33"/>
      <c r="G65" s="5" t="s">
        <v>3</v>
      </c>
      <c r="H65" s="34"/>
      <c r="I65" s="35" t="s">
        <v>34</v>
      </c>
      <c r="J65" s="8"/>
      <c r="K65" s="8"/>
      <c r="L65" s="185"/>
      <c r="M65" s="175"/>
      <c r="N65" s="176"/>
      <c r="O65" s="176"/>
      <c r="P65" s="177"/>
      <c r="R65" s="151" t="str">
        <f>R42</f>
        <v>Oberkörper Drückbewegung</v>
      </c>
      <c r="S65" s="8">
        <v>3</v>
      </c>
      <c r="T65" s="8">
        <f>IF(OR(R43="Dips",R20="LH Schulterdrücken"),5,8)</f>
        <v>8</v>
      </c>
      <c r="U65" s="178"/>
      <c r="V65" s="5" t="s">
        <v>3</v>
      </c>
      <c r="W65" s="179"/>
      <c r="X65" s="8">
        <v>9</v>
      </c>
      <c r="Y65" s="8"/>
      <c r="Z65" s="8"/>
      <c r="AA65" s="185"/>
      <c r="AB65" s="175"/>
      <c r="AC65" s="176"/>
      <c r="AD65" s="176"/>
      <c r="AE65" s="177"/>
      <c r="AG65" s="151" t="str">
        <f>AG31</f>
        <v>Unterkörperübung, unilateral</v>
      </c>
      <c r="AH65" s="8">
        <v>3</v>
      </c>
      <c r="AI65" s="8">
        <v>10</v>
      </c>
      <c r="AJ65" s="33"/>
      <c r="AK65" s="5" t="s">
        <v>3</v>
      </c>
      <c r="AL65" s="34"/>
      <c r="AM65" s="8">
        <v>9</v>
      </c>
      <c r="AN65" s="8"/>
      <c r="AO65" s="8"/>
      <c r="AP65" s="185"/>
      <c r="AQ65" s="175"/>
      <c r="AR65" s="176"/>
      <c r="AS65" s="176"/>
      <c r="AT65" s="177"/>
      <c r="AV65" s="9" t="str">
        <f>AV43</f>
        <v>Hip Thrusts</v>
      </c>
      <c r="AW65" s="10">
        <v>3</v>
      </c>
      <c r="AX65" s="10">
        <v>8</v>
      </c>
      <c r="AY65" s="183"/>
      <c r="AZ65" s="4" t="s">
        <v>3</v>
      </c>
      <c r="BA65" s="184"/>
      <c r="BB65" s="10">
        <v>9</v>
      </c>
      <c r="BC65" s="10"/>
      <c r="BD65" s="10"/>
      <c r="BE65" s="186"/>
      <c r="BF65" s="230"/>
      <c r="BG65" s="231"/>
      <c r="BH65" s="231"/>
      <c r="BI65" s="232"/>
      <c r="BJ65" s="28"/>
      <c r="BK65" s="151" t="str">
        <f>BK31</f>
        <v>Oberkörper Drückbewegung</v>
      </c>
      <c r="BL65" s="8">
        <v>2</v>
      </c>
      <c r="BM65" s="8" t="str">
        <f>IF(OR(BK65="Dips",BK65="Military Press"),"6-8","10-12")</f>
        <v>10-12</v>
      </c>
      <c r="BN65" s="33"/>
      <c r="BO65" s="5" t="s">
        <v>3</v>
      </c>
      <c r="BP65" s="34"/>
      <c r="BQ65" s="35" t="s">
        <v>34</v>
      </c>
      <c r="BR65" s="8"/>
      <c r="BS65" s="8"/>
      <c r="BT65" s="185"/>
      <c r="BU65" s="175"/>
      <c r="BV65" s="176"/>
      <c r="BW65" s="176"/>
      <c r="BX65" s="177"/>
    </row>
    <row r="66" spans="3:76" ht="15.6" x14ac:dyDescent="0.3">
      <c r="C66" s="9" t="str">
        <f>C32</f>
        <v>Beinbeuger</v>
      </c>
      <c r="D66" s="10">
        <v>3</v>
      </c>
      <c r="E66" s="32" t="s">
        <v>28</v>
      </c>
      <c r="F66" s="48"/>
      <c r="G66" s="4" t="s">
        <v>3</v>
      </c>
      <c r="H66" s="39"/>
      <c r="I66" s="32" t="s">
        <v>34</v>
      </c>
      <c r="J66" s="10"/>
      <c r="K66" s="10"/>
      <c r="L66" s="186"/>
      <c r="M66" s="180"/>
      <c r="N66" s="181"/>
      <c r="O66" s="181"/>
      <c r="P66" s="182"/>
      <c r="R66" s="9" t="str">
        <f>R43</f>
        <v>Hintere Schulter</v>
      </c>
      <c r="S66" s="10">
        <v>4</v>
      </c>
      <c r="T66" s="32" t="s">
        <v>36</v>
      </c>
      <c r="U66" s="183"/>
      <c r="V66" s="4" t="s">
        <v>3</v>
      </c>
      <c r="W66" s="184"/>
      <c r="X66" s="32" t="s">
        <v>34</v>
      </c>
      <c r="Y66" s="10"/>
      <c r="Z66" s="10"/>
      <c r="AA66" s="186"/>
      <c r="AB66" s="180"/>
      <c r="AC66" s="181"/>
      <c r="AD66" s="181"/>
      <c r="AE66" s="182"/>
      <c r="AG66" s="9" t="s">
        <v>21</v>
      </c>
      <c r="AH66" s="32" t="s">
        <v>39</v>
      </c>
      <c r="AI66" s="32" t="s">
        <v>38</v>
      </c>
      <c r="AJ66" s="48"/>
      <c r="AK66" s="4" t="s">
        <v>3</v>
      </c>
      <c r="AL66" s="39"/>
      <c r="AM66" s="32" t="s">
        <v>34</v>
      </c>
      <c r="AN66" s="10"/>
      <c r="AO66" s="10"/>
      <c r="AP66" s="186"/>
      <c r="AQ66" s="180"/>
      <c r="AR66" s="181"/>
      <c r="AS66" s="181"/>
      <c r="AT66" s="182"/>
      <c r="AV66" s="151" t="str">
        <f t="shared" ref="AV66" si="9">AV55</f>
        <v>Optional: Unterarmstütz/Ab Roll</v>
      </c>
      <c r="AW66" s="8">
        <v>3</v>
      </c>
      <c r="AX66" s="8"/>
      <c r="AY66" s="178"/>
      <c r="AZ66" s="5" t="s">
        <v>3</v>
      </c>
      <c r="BA66" s="179"/>
      <c r="BB66" s="8"/>
      <c r="BC66" s="8"/>
      <c r="BD66" s="8"/>
      <c r="BE66" s="185"/>
      <c r="BF66" s="226"/>
      <c r="BG66" s="227"/>
      <c r="BH66" s="227"/>
      <c r="BI66" s="228"/>
      <c r="BJ66" s="28"/>
      <c r="BK66" s="9" t="str">
        <f>BK32</f>
        <v>Rudern</v>
      </c>
      <c r="BL66" s="10">
        <v>3</v>
      </c>
      <c r="BM66" s="10" t="str">
        <f>IF(OR(BK66="Pendlay Rudern"),"6","8-10")</f>
        <v>8-10</v>
      </c>
      <c r="BN66" s="48"/>
      <c r="BO66" s="4" t="s">
        <v>3</v>
      </c>
      <c r="BP66" s="39"/>
      <c r="BQ66" s="10">
        <v>9</v>
      </c>
      <c r="BR66" s="10"/>
      <c r="BS66" s="10"/>
      <c r="BT66" s="186"/>
      <c r="BU66" s="180"/>
      <c r="BV66" s="181"/>
      <c r="BW66" s="181"/>
      <c r="BX66" s="182"/>
    </row>
    <row r="67" spans="3:76" ht="15.6" x14ac:dyDescent="0.3">
      <c r="C67" s="151" t="str">
        <f>C33</f>
        <v>Optional: Unterarmstütz/Ab Roll</v>
      </c>
      <c r="D67" s="8">
        <v>3</v>
      </c>
      <c r="E67" s="8"/>
      <c r="F67" s="33"/>
      <c r="G67" s="5" t="s">
        <v>3</v>
      </c>
      <c r="H67" s="34"/>
      <c r="I67" s="8"/>
      <c r="J67" s="8"/>
      <c r="K67" s="8"/>
      <c r="L67" s="185"/>
      <c r="M67" s="175"/>
      <c r="N67" s="176"/>
      <c r="O67" s="176"/>
      <c r="P67" s="177"/>
      <c r="R67" s="151"/>
      <c r="S67" s="8"/>
      <c r="T67" s="8"/>
      <c r="U67" s="178"/>
      <c r="V67" s="5" t="s">
        <v>3</v>
      </c>
      <c r="W67" s="179"/>
      <c r="X67" s="8"/>
      <c r="Y67" s="8"/>
      <c r="Z67" s="8"/>
      <c r="AA67" s="185"/>
      <c r="AB67" s="175"/>
      <c r="AC67" s="176"/>
      <c r="AD67" s="176"/>
      <c r="AE67" s="177"/>
      <c r="AG67" s="151" t="s">
        <v>22</v>
      </c>
      <c r="AH67" s="35" t="s">
        <v>39</v>
      </c>
      <c r="AI67" s="35" t="s">
        <v>38</v>
      </c>
      <c r="AJ67" s="33"/>
      <c r="AK67" s="5" t="s">
        <v>3</v>
      </c>
      <c r="AL67" s="34"/>
      <c r="AM67" s="35" t="s">
        <v>34</v>
      </c>
      <c r="AN67" s="8"/>
      <c r="AO67" s="8"/>
      <c r="AP67" s="185"/>
      <c r="AQ67" s="175"/>
      <c r="AR67" s="176"/>
      <c r="AS67" s="176"/>
      <c r="AT67" s="177"/>
      <c r="AV67" s="9"/>
      <c r="AW67" s="10"/>
      <c r="AX67" s="10"/>
      <c r="AY67" s="183"/>
      <c r="AZ67" s="4" t="s">
        <v>3</v>
      </c>
      <c r="BA67" s="184"/>
      <c r="BB67" s="10"/>
      <c r="BC67" s="10"/>
      <c r="BD67" s="10"/>
      <c r="BE67" s="186"/>
      <c r="BF67" s="230"/>
      <c r="BG67" s="231"/>
      <c r="BH67" s="231"/>
      <c r="BI67" s="232"/>
      <c r="BJ67" s="28"/>
      <c r="BK67" s="151" t="str">
        <f>BK33</f>
        <v>Hintere Schulter</v>
      </c>
      <c r="BL67" s="8">
        <v>3</v>
      </c>
      <c r="BM67" s="35" t="s">
        <v>28</v>
      </c>
      <c r="BN67" s="33"/>
      <c r="BO67" s="5" t="s">
        <v>3</v>
      </c>
      <c r="BP67" s="34"/>
      <c r="BQ67" s="35" t="s">
        <v>34</v>
      </c>
      <c r="BR67" s="8"/>
      <c r="BS67" s="8"/>
      <c r="BT67" s="185"/>
      <c r="BU67" s="175"/>
      <c r="BV67" s="176"/>
      <c r="BW67" s="176"/>
      <c r="BX67" s="177"/>
    </row>
    <row r="68" spans="3:76" ht="16.2" thickBot="1" x14ac:dyDescent="0.35">
      <c r="C68" s="208"/>
      <c r="D68" s="209"/>
      <c r="E68" s="209"/>
      <c r="F68" s="210"/>
      <c r="G68" s="129" t="s">
        <v>3</v>
      </c>
      <c r="H68" s="211"/>
      <c r="I68" s="209"/>
      <c r="J68" s="209"/>
      <c r="K68" s="209"/>
      <c r="L68" s="212"/>
      <c r="M68" s="213"/>
      <c r="N68" s="214"/>
      <c r="O68" s="214"/>
      <c r="P68" s="215"/>
      <c r="R68" s="208"/>
      <c r="S68" s="209"/>
      <c r="T68" s="209"/>
      <c r="U68" s="216"/>
      <c r="V68" s="129" t="s">
        <v>3</v>
      </c>
      <c r="W68" s="217"/>
      <c r="X68" s="209"/>
      <c r="Y68" s="209"/>
      <c r="Z68" s="209"/>
      <c r="AA68" s="212"/>
      <c r="AB68" s="213"/>
      <c r="AC68" s="214"/>
      <c r="AD68" s="214"/>
      <c r="AE68" s="215"/>
      <c r="AG68" s="208"/>
      <c r="AH68" s="209"/>
      <c r="AI68" s="209"/>
      <c r="AJ68" s="210"/>
      <c r="AK68" s="129" t="s">
        <v>3</v>
      </c>
      <c r="AL68" s="211"/>
      <c r="AM68" s="209"/>
      <c r="AN68" s="209"/>
      <c r="AO68" s="209"/>
      <c r="AP68" s="212"/>
      <c r="AQ68" s="213"/>
      <c r="AR68" s="214"/>
      <c r="AS68" s="214"/>
      <c r="AT68" s="215"/>
      <c r="AV68" s="11"/>
      <c r="AW68" s="12"/>
      <c r="AX68" s="12"/>
      <c r="AY68" s="75"/>
      <c r="AZ68" s="6" t="s">
        <v>3</v>
      </c>
      <c r="BA68" s="77"/>
      <c r="BB68" s="12"/>
      <c r="BC68" s="12"/>
      <c r="BD68" s="12"/>
      <c r="BE68" s="187"/>
      <c r="BF68" s="220"/>
      <c r="BG68" s="221"/>
      <c r="BH68" s="221"/>
      <c r="BI68" s="222"/>
      <c r="BJ68" s="28"/>
      <c r="BK68" s="208"/>
      <c r="BL68" s="209"/>
      <c r="BM68" s="209"/>
      <c r="BN68" s="210"/>
      <c r="BO68" s="129" t="s">
        <v>3</v>
      </c>
      <c r="BP68" s="211"/>
      <c r="BQ68" s="209"/>
      <c r="BR68" s="209"/>
      <c r="BS68" s="209"/>
      <c r="BT68" s="212"/>
      <c r="BU68" s="213"/>
      <c r="BV68" s="214"/>
      <c r="BW68" s="214"/>
      <c r="BX68" s="215"/>
    </row>
    <row r="70" spans="3:76" ht="15" thickBot="1" x14ac:dyDescent="0.35"/>
    <row r="71" spans="3:76" ht="24" thickBot="1" x14ac:dyDescent="0.35">
      <c r="C71" s="102" t="s">
        <v>42</v>
      </c>
      <c r="D71" s="1"/>
      <c r="E71" s="1"/>
      <c r="F71" s="47"/>
      <c r="G71" s="1"/>
      <c r="H71" s="50"/>
      <c r="I71" s="1"/>
      <c r="J71" s="1"/>
      <c r="K71" s="1"/>
      <c r="L71" s="1"/>
      <c r="M71" s="1"/>
      <c r="N71" s="1"/>
      <c r="O71" s="1"/>
      <c r="P71" s="1"/>
      <c r="AA71" s="1"/>
      <c r="AP71" s="1"/>
      <c r="BE71" s="1"/>
      <c r="BT71" s="1"/>
    </row>
    <row r="72" spans="3:76" ht="18.600000000000001" thickBot="1" x14ac:dyDescent="0.4">
      <c r="C72" s="130" t="s">
        <v>119</v>
      </c>
      <c r="D72" s="219" t="s">
        <v>136</v>
      </c>
      <c r="E72" s="219" t="s">
        <v>56</v>
      </c>
      <c r="F72" s="235" t="s">
        <v>29</v>
      </c>
      <c r="G72" s="235"/>
      <c r="H72" s="241"/>
      <c r="I72" s="219" t="s">
        <v>7</v>
      </c>
      <c r="J72" s="219" t="s">
        <v>137</v>
      </c>
      <c r="K72" s="219" t="s">
        <v>10</v>
      </c>
      <c r="L72" s="218" t="s">
        <v>66</v>
      </c>
      <c r="M72" s="234" t="s">
        <v>9</v>
      </c>
      <c r="N72" s="235"/>
      <c r="O72" s="235"/>
      <c r="P72" s="236"/>
      <c r="R72" s="130" t="s">
        <v>123</v>
      </c>
      <c r="S72" s="219" t="s">
        <v>136</v>
      </c>
      <c r="T72" s="219" t="s">
        <v>56</v>
      </c>
      <c r="U72" s="235" t="s">
        <v>29</v>
      </c>
      <c r="V72" s="235"/>
      <c r="W72" s="241"/>
      <c r="X72" s="219" t="s">
        <v>7</v>
      </c>
      <c r="Y72" s="219" t="s">
        <v>137</v>
      </c>
      <c r="Z72" s="219" t="s">
        <v>10</v>
      </c>
      <c r="AA72" s="218" t="s">
        <v>66</v>
      </c>
      <c r="AB72" s="234" t="s">
        <v>9</v>
      </c>
      <c r="AC72" s="235"/>
      <c r="AD72" s="235"/>
      <c r="AE72" s="236"/>
      <c r="AG72" s="130" t="s">
        <v>127</v>
      </c>
      <c r="AH72" s="219" t="s">
        <v>136</v>
      </c>
      <c r="AI72" s="219" t="s">
        <v>56</v>
      </c>
      <c r="AJ72" s="235" t="s">
        <v>29</v>
      </c>
      <c r="AK72" s="235"/>
      <c r="AL72" s="241"/>
      <c r="AM72" s="219" t="s">
        <v>7</v>
      </c>
      <c r="AN72" s="219" t="s">
        <v>137</v>
      </c>
      <c r="AO72" s="219" t="s">
        <v>10</v>
      </c>
      <c r="AP72" s="218" t="s">
        <v>66</v>
      </c>
      <c r="AQ72" s="234" t="s">
        <v>9</v>
      </c>
      <c r="AR72" s="235"/>
      <c r="AS72" s="235"/>
      <c r="AT72" s="236"/>
      <c r="AV72" s="130" t="s">
        <v>131</v>
      </c>
      <c r="AW72" s="219" t="s">
        <v>136</v>
      </c>
      <c r="AX72" s="219" t="s">
        <v>56</v>
      </c>
      <c r="AY72" s="235" t="s">
        <v>29</v>
      </c>
      <c r="AZ72" s="235"/>
      <c r="BA72" s="241"/>
      <c r="BB72" s="219" t="s">
        <v>7</v>
      </c>
      <c r="BC72" s="219" t="s">
        <v>137</v>
      </c>
      <c r="BD72" s="219" t="s">
        <v>10</v>
      </c>
      <c r="BE72" s="218" t="s">
        <v>66</v>
      </c>
      <c r="BF72" s="234" t="s">
        <v>9</v>
      </c>
      <c r="BG72" s="235"/>
      <c r="BH72" s="235"/>
      <c r="BI72" s="236"/>
      <c r="BJ72" s="29"/>
      <c r="BK72" s="190" t="s">
        <v>135</v>
      </c>
      <c r="BL72" s="219" t="s">
        <v>136</v>
      </c>
      <c r="BM72" s="219" t="s">
        <v>56</v>
      </c>
      <c r="BN72" s="235" t="s">
        <v>29</v>
      </c>
      <c r="BO72" s="235"/>
      <c r="BP72" s="241"/>
      <c r="BQ72" s="219" t="s">
        <v>7</v>
      </c>
      <c r="BR72" s="219" t="s">
        <v>137</v>
      </c>
      <c r="BS72" s="219" t="s">
        <v>10</v>
      </c>
      <c r="BT72" s="218" t="s">
        <v>66</v>
      </c>
      <c r="BU72" s="234" t="s">
        <v>9</v>
      </c>
      <c r="BV72" s="235"/>
      <c r="BW72" s="235"/>
      <c r="BX72" s="236"/>
    </row>
    <row r="73" spans="3:76" ht="15.6" x14ac:dyDescent="0.3">
      <c r="C73" s="7" t="str">
        <f>C29</f>
        <v>WK-Kniebeuge</v>
      </c>
      <c r="D73" s="8">
        <v>3</v>
      </c>
      <c r="E73" s="8">
        <v>4</v>
      </c>
      <c r="F73" s="33">
        <f>(0.76*D10)-5</f>
        <v>-5</v>
      </c>
      <c r="G73" s="5" t="s">
        <v>3</v>
      </c>
      <c r="H73" s="34">
        <f>(0.76*D10)+5</f>
        <v>5</v>
      </c>
      <c r="I73" s="31" t="s">
        <v>31</v>
      </c>
      <c r="J73" s="8" t="s">
        <v>61</v>
      </c>
      <c r="K73" s="8"/>
      <c r="L73" s="185"/>
      <c r="M73" s="22"/>
      <c r="N73" s="23"/>
      <c r="O73" s="23"/>
      <c r="P73" s="24"/>
      <c r="R73" s="7" t="s">
        <v>97</v>
      </c>
      <c r="S73" s="8">
        <v>3</v>
      </c>
      <c r="T73" s="8">
        <v>6</v>
      </c>
      <c r="U73" s="33">
        <f>(0.72*F10)-5</f>
        <v>-5</v>
      </c>
      <c r="V73" s="5" t="s">
        <v>3</v>
      </c>
      <c r="W73" s="34">
        <f>(0.72*F10)+5</f>
        <v>5</v>
      </c>
      <c r="X73" s="35" t="s">
        <v>31</v>
      </c>
      <c r="Y73" s="8" t="s">
        <v>62</v>
      </c>
      <c r="Z73" s="8"/>
      <c r="AA73" s="185"/>
      <c r="AB73" s="22"/>
      <c r="AC73" s="23"/>
      <c r="AD73" s="23"/>
      <c r="AE73" s="24"/>
      <c r="AG73" s="151" t="str">
        <f>AG18</f>
        <v>WK-Kreuzheben</v>
      </c>
      <c r="AH73" s="8">
        <v>3</v>
      </c>
      <c r="AI73" s="8">
        <v>4</v>
      </c>
      <c r="AJ73" s="33">
        <f>(0.76*H10)-5</f>
        <v>-5</v>
      </c>
      <c r="AK73" s="5" t="s">
        <v>3</v>
      </c>
      <c r="AL73" s="34">
        <f>(0.76*H10)+5</f>
        <v>5</v>
      </c>
      <c r="AM73" s="35" t="s">
        <v>31</v>
      </c>
      <c r="AN73" s="8" t="s">
        <v>40</v>
      </c>
      <c r="AO73" s="8"/>
      <c r="AP73" s="185"/>
      <c r="AQ73" s="22"/>
      <c r="AR73" s="23"/>
      <c r="AS73" s="23"/>
      <c r="AT73" s="24"/>
      <c r="AV73" s="7" t="s">
        <v>99</v>
      </c>
      <c r="AW73" s="8">
        <v>3</v>
      </c>
      <c r="AX73" s="8">
        <v>6</v>
      </c>
      <c r="AY73" s="33">
        <f>(0.71*D13)-5</f>
        <v>-5</v>
      </c>
      <c r="AZ73" s="5" t="s">
        <v>3</v>
      </c>
      <c r="BA73" s="34">
        <f>(0.71*D13)+5</f>
        <v>5</v>
      </c>
      <c r="BB73" s="35" t="s">
        <v>31</v>
      </c>
      <c r="BC73" s="8" t="s">
        <v>63</v>
      </c>
      <c r="BD73" s="8"/>
      <c r="BE73" s="185"/>
      <c r="BF73" s="22"/>
      <c r="BG73" s="23"/>
      <c r="BH73" s="23"/>
      <c r="BI73" s="24"/>
      <c r="BJ73" s="28"/>
      <c r="BK73" s="7" t="s">
        <v>97</v>
      </c>
      <c r="BL73" s="8">
        <v>3</v>
      </c>
      <c r="BM73" s="8">
        <v>4</v>
      </c>
      <c r="BN73" s="33">
        <f>(0.76*F10)-5</f>
        <v>-5</v>
      </c>
      <c r="BO73" s="5" t="s">
        <v>3</v>
      </c>
      <c r="BP73" s="34">
        <f>(0.76*F10)+5</f>
        <v>5</v>
      </c>
      <c r="BQ73" s="31" t="s">
        <v>31</v>
      </c>
      <c r="BR73" s="8" t="s">
        <v>62</v>
      </c>
      <c r="BS73" s="8"/>
      <c r="BT73" s="185"/>
      <c r="BU73" s="22"/>
      <c r="BV73" s="23"/>
      <c r="BW73" s="23"/>
      <c r="BX73" s="24"/>
    </row>
    <row r="74" spans="3:76" ht="15.6" x14ac:dyDescent="0.3">
      <c r="C74" s="9" t="str">
        <f>C30</f>
        <v>Kniebeuge - Variation</v>
      </c>
      <c r="D74" s="10">
        <v>2</v>
      </c>
      <c r="E74" s="10">
        <v>3</v>
      </c>
      <c r="F74" s="48">
        <f>IF(C30="2ct.WK-Kniebeuge",(D11*0.77)-5,(D12*0.77)-5)</f>
        <v>-5</v>
      </c>
      <c r="G74" s="4" t="s">
        <v>3</v>
      </c>
      <c r="H74" s="39">
        <f>IF(C30="2ct.WK-Kniebeuge",(D11*0.77)+5,(D12*0.77)+5)</f>
        <v>5</v>
      </c>
      <c r="I74" s="10" t="s">
        <v>31</v>
      </c>
      <c r="J74" s="10" t="s">
        <v>61</v>
      </c>
      <c r="K74" s="10"/>
      <c r="L74" s="186"/>
      <c r="M74" s="16"/>
      <c r="N74" s="17"/>
      <c r="O74" s="17"/>
      <c r="P74" s="18"/>
      <c r="R74" s="9" t="str">
        <f>R30</f>
        <v>Latzug</v>
      </c>
      <c r="S74" s="10">
        <v>2</v>
      </c>
      <c r="T74" s="10">
        <v>8</v>
      </c>
      <c r="U74" s="74"/>
      <c r="V74" s="4" t="s">
        <v>3</v>
      </c>
      <c r="W74" s="76"/>
      <c r="X74" s="10">
        <v>7</v>
      </c>
      <c r="Y74" s="10"/>
      <c r="Z74" s="10"/>
      <c r="AA74" s="186"/>
      <c r="AB74" s="16"/>
      <c r="AC74" s="17"/>
      <c r="AD74" s="17"/>
      <c r="AE74" s="18"/>
      <c r="AG74" s="9" t="str">
        <f>AG30</f>
        <v>Bankdrücken - Variation</v>
      </c>
      <c r="AH74" s="10">
        <v>2</v>
      </c>
      <c r="AI74" s="10">
        <v>2</v>
      </c>
      <c r="AJ74" s="48">
        <f>IF(AG30="3ct. WK-Bankdrücken",(F11*0.79)-5,(F12*0.79)-5)</f>
        <v>-5</v>
      </c>
      <c r="AK74" s="4" t="s">
        <v>3</v>
      </c>
      <c r="AL74" s="39">
        <f>IF(AG30="3ct. WK-Bankdrücken",(F11*0.79)+5,(F12*0.79)+5)</f>
        <v>5</v>
      </c>
      <c r="AM74" s="32" t="s">
        <v>31</v>
      </c>
      <c r="AN74" s="10" t="s">
        <v>62</v>
      </c>
      <c r="AO74" s="10"/>
      <c r="AP74" s="186"/>
      <c r="AQ74" s="16"/>
      <c r="AR74" s="17"/>
      <c r="AS74" s="17"/>
      <c r="AT74" s="18"/>
      <c r="AV74" s="9" t="str">
        <f>AV30</f>
        <v>Kreuzheben - Variation</v>
      </c>
      <c r="AW74" s="10">
        <v>2</v>
      </c>
      <c r="AX74" s="10">
        <f>IF(AV74="Kreuzheben im Reißgriff",5,6)</f>
        <v>6</v>
      </c>
      <c r="AY74" s="74"/>
      <c r="AZ74" s="4" t="s">
        <v>3</v>
      </c>
      <c r="BA74" s="76"/>
      <c r="BB74" s="10">
        <v>6</v>
      </c>
      <c r="BC74" s="10" t="s">
        <v>58</v>
      </c>
      <c r="BD74" s="10"/>
      <c r="BE74" s="186"/>
      <c r="BF74" s="16"/>
      <c r="BG74" s="17"/>
      <c r="BH74" s="17"/>
      <c r="BI74" s="18"/>
      <c r="BJ74" s="28"/>
      <c r="BK74" s="9" t="s">
        <v>100</v>
      </c>
      <c r="BL74" s="10">
        <v>2</v>
      </c>
      <c r="BM74" s="10">
        <v>6</v>
      </c>
      <c r="BN74" s="48">
        <f>(0.7*F13)-5</f>
        <v>-5</v>
      </c>
      <c r="BO74" s="4" t="s">
        <v>3</v>
      </c>
      <c r="BP74" s="39">
        <f>(0.7*F13)+5</f>
        <v>5</v>
      </c>
      <c r="BQ74" s="10" t="s">
        <v>31</v>
      </c>
      <c r="BR74" s="10" t="s">
        <v>62</v>
      </c>
      <c r="BS74" s="10"/>
      <c r="BT74" s="186"/>
      <c r="BU74" s="16"/>
      <c r="BV74" s="17"/>
      <c r="BW74" s="17"/>
      <c r="BX74" s="18"/>
    </row>
    <row r="75" spans="3:76" ht="15.6" x14ac:dyDescent="0.3">
      <c r="C75" s="7" t="str">
        <f>C31</f>
        <v>Rudern</v>
      </c>
      <c r="D75" s="8">
        <v>3</v>
      </c>
      <c r="E75" s="8">
        <v>8</v>
      </c>
      <c r="F75" s="33"/>
      <c r="G75" s="5" t="s">
        <v>3</v>
      </c>
      <c r="H75" s="34"/>
      <c r="I75" s="8">
        <v>7</v>
      </c>
      <c r="J75" s="8"/>
      <c r="K75" s="8"/>
      <c r="L75" s="185"/>
      <c r="M75" s="13"/>
      <c r="N75" s="14"/>
      <c r="O75" s="14"/>
      <c r="P75" s="15"/>
      <c r="R75" s="7" t="str">
        <f>R31</f>
        <v>Oberkörper Drückbewegung</v>
      </c>
      <c r="S75" s="8">
        <v>2</v>
      </c>
      <c r="T75" s="8">
        <f>IF(OR(R31="Dips",R31="Military Press"),5,8)</f>
        <v>8</v>
      </c>
      <c r="U75" s="44"/>
      <c r="V75" s="5" t="s">
        <v>3</v>
      </c>
      <c r="W75" s="45"/>
      <c r="X75" s="8">
        <v>7</v>
      </c>
      <c r="Y75" s="8"/>
      <c r="Z75" s="8"/>
      <c r="AA75" s="185"/>
      <c r="AB75" s="13"/>
      <c r="AC75" s="14"/>
      <c r="AD75" s="14"/>
      <c r="AE75" s="15"/>
      <c r="AG75" s="7" t="str">
        <f>AG31</f>
        <v>Unterkörperübung, unilateral</v>
      </c>
      <c r="AH75" s="8">
        <v>2</v>
      </c>
      <c r="AI75" s="8">
        <v>8</v>
      </c>
      <c r="AJ75" s="33"/>
      <c r="AK75" s="5" t="s">
        <v>3</v>
      </c>
      <c r="AL75" s="34"/>
      <c r="AM75" s="8">
        <v>6</v>
      </c>
      <c r="AN75" s="8"/>
      <c r="AO75" s="8"/>
      <c r="AP75" s="185"/>
      <c r="AQ75" s="13"/>
      <c r="AR75" s="14"/>
      <c r="AS75" s="14"/>
      <c r="AT75" s="15"/>
      <c r="AV75" s="7" t="str">
        <f>AV31</f>
        <v>Latzug</v>
      </c>
      <c r="AW75" s="8">
        <v>3</v>
      </c>
      <c r="AX75" s="8">
        <v>8</v>
      </c>
      <c r="AY75" s="44"/>
      <c r="AZ75" s="5" t="s">
        <v>3</v>
      </c>
      <c r="BA75" s="45"/>
      <c r="BB75" s="8">
        <v>6</v>
      </c>
      <c r="BC75" s="8"/>
      <c r="BD75" s="8"/>
      <c r="BE75" s="185"/>
      <c r="BF75" s="13"/>
      <c r="BG75" s="14"/>
      <c r="BH75" s="14"/>
      <c r="BI75" s="15"/>
      <c r="BJ75" s="28"/>
      <c r="BK75" s="7" t="str">
        <f>BK31</f>
        <v>Oberkörper Drückbewegung</v>
      </c>
      <c r="BL75" s="8">
        <v>2</v>
      </c>
      <c r="BM75" s="8" t="str">
        <f>IF(OR(BK65="Dips",BK65="Military Press"),"6","8")</f>
        <v>8</v>
      </c>
      <c r="BN75" s="33"/>
      <c r="BO75" s="5" t="s">
        <v>3</v>
      </c>
      <c r="BP75" s="34"/>
      <c r="BQ75" s="8">
        <v>6</v>
      </c>
      <c r="BR75" s="8"/>
      <c r="BS75" s="8"/>
      <c r="BT75" s="185"/>
      <c r="BU75" s="13"/>
      <c r="BV75" s="14"/>
      <c r="BW75" s="14"/>
      <c r="BX75" s="15"/>
    </row>
    <row r="76" spans="3:76" ht="15.6" x14ac:dyDescent="0.3">
      <c r="C76" s="9" t="str">
        <f>C32</f>
        <v>Beinbeuger</v>
      </c>
      <c r="D76" s="10">
        <v>2</v>
      </c>
      <c r="E76" s="10">
        <v>8</v>
      </c>
      <c r="F76" s="48"/>
      <c r="G76" s="4" t="s">
        <v>3</v>
      </c>
      <c r="H76" s="39"/>
      <c r="I76" s="10">
        <v>7</v>
      </c>
      <c r="J76" s="10"/>
      <c r="K76" s="10"/>
      <c r="L76" s="186"/>
      <c r="M76" s="16"/>
      <c r="N76" s="17"/>
      <c r="O76" s="17"/>
      <c r="P76" s="18"/>
      <c r="R76" s="9" t="str">
        <f>R32</f>
        <v>Hintere Schulter</v>
      </c>
      <c r="S76" s="10">
        <v>3</v>
      </c>
      <c r="T76" s="10">
        <v>10</v>
      </c>
      <c r="U76" s="74"/>
      <c r="V76" s="4" t="s">
        <v>3</v>
      </c>
      <c r="W76" s="76"/>
      <c r="X76" s="10">
        <v>7</v>
      </c>
      <c r="Y76" s="10"/>
      <c r="Z76" s="10"/>
      <c r="AA76" s="186"/>
      <c r="AB76" s="16"/>
      <c r="AC76" s="17"/>
      <c r="AD76" s="17"/>
      <c r="AE76" s="18"/>
      <c r="AG76" s="9" t="s">
        <v>21</v>
      </c>
      <c r="AH76" s="10">
        <v>2</v>
      </c>
      <c r="AI76" s="10">
        <v>8</v>
      </c>
      <c r="AJ76" s="48"/>
      <c r="AK76" s="4" t="s">
        <v>3</v>
      </c>
      <c r="AL76" s="39"/>
      <c r="AM76" s="10">
        <v>7</v>
      </c>
      <c r="AN76" s="10"/>
      <c r="AO76" s="10"/>
      <c r="AP76" s="186"/>
      <c r="AQ76" s="16"/>
      <c r="AR76" s="17"/>
      <c r="AS76" s="17"/>
      <c r="AT76" s="18"/>
      <c r="AV76" s="9" t="s">
        <v>26</v>
      </c>
      <c r="AW76" s="10">
        <v>2</v>
      </c>
      <c r="AX76" s="10">
        <v>6</v>
      </c>
      <c r="AY76" s="74"/>
      <c r="AZ76" s="4" t="s">
        <v>3</v>
      </c>
      <c r="BA76" s="76"/>
      <c r="BB76" s="10">
        <v>6</v>
      </c>
      <c r="BC76" s="10"/>
      <c r="BD76" s="10"/>
      <c r="BE76" s="186"/>
      <c r="BF76" s="16"/>
      <c r="BG76" s="17"/>
      <c r="BH76" s="17"/>
      <c r="BI76" s="18"/>
      <c r="BJ76" s="28"/>
      <c r="BK76" s="9" t="str">
        <f>BK32</f>
        <v>Rudern</v>
      </c>
      <c r="BL76" s="10">
        <v>3</v>
      </c>
      <c r="BM76" s="10" t="str">
        <f>IF(OR(BK76="Pendlay Rudern"),"5","8")</f>
        <v>8</v>
      </c>
      <c r="BN76" s="48"/>
      <c r="BO76" s="4" t="s">
        <v>3</v>
      </c>
      <c r="BP76" s="39"/>
      <c r="BQ76" s="10">
        <v>6</v>
      </c>
      <c r="BR76" s="10"/>
      <c r="BS76" s="10"/>
      <c r="BT76" s="186"/>
      <c r="BU76" s="16"/>
      <c r="BV76" s="17"/>
      <c r="BW76" s="17"/>
      <c r="BX76" s="18"/>
    </row>
    <row r="77" spans="3:76" ht="15.6" x14ac:dyDescent="0.3">
      <c r="C77" s="7" t="str">
        <f>C33</f>
        <v>Optional: Unterarmstütz/Ab Roll</v>
      </c>
      <c r="D77" s="8">
        <v>2</v>
      </c>
      <c r="E77" s="8"/>
      <c r="F77" s="33"/>
      <c r="G77" s="5" t="s">
        <v>3</v>
      </c>
      <c r="H77" s="34"/>
      <c r="I77" s="8"/>
      <c r="J77" s="8"/>
      <c r="K77" s="8"/>
      <c r="L77" s="185"/>
      <c r="M77" s="13"/>
      <c r="N77" s="14"/>
      <c r="O77" s="14"/>
      <c r="P77" s="15"/>
      <c r="R77" s="7"/>
      <c r="S77" s="8"/>
      <c r="T77" s="8"/>
      <c r="U77" s="44"/>
      <c r="V77" s="5" t="s">
        <v>3</v>
      </c>
      <c r="W77" s="45"/>
      <c r="X77" s="8"/>
      <c r="Y77" s="8"/>
      <c r="Z77" s="8"/>
      <c r="AA77" s="185"/>
      <c r="AB77" s="13"/>
      <c r="AC77" s="14"/>
      <c r="AD77" s="14"/>
      <c r="AE77" s="15"/>
      <c r="AG77" s="7" t="s">
        <v>22</v>
      </c>
      <c r="AH77" s="8">
        <v>2</v>
      </c>
      <c r="AI77" s="8">
        <v>8</v>
      </c>
      <c r="AJ77" s="33"/>
      <c r="AK77" s="5" t="s">
        <v>3</v>
      </c>
      <c r="AL77" s="34"/>
      <c r="AM77" s="8">
        <v>7</v>
      </c>
      <c r="AN77" s="8"/>
      <c r="AO77" s="8"/>
      <c r="AP77" s="185"/>
      <c r="AQ77" s="13"/>
      <c r="AR77" s="14"/>
      <c r="AS77" s="14"/>
      <c r="AT77" s="15"/>
      <c r="AV77" s="7" t="str">
        <f>AV22</f>
        <v>Optional: Unterarmstütz/Ab Roll</v>
      </c>
      <c r="AW77" s="8">
        <v>2</v>
      </c>
      <c r="AX77" s="8"/>
      <c r="AY77" s="44"/>
      <c r="AZ77" s="5" t="s">
        <v>3</v>
      </c>
      <c r="BA77" s="45"/>
      <c r="BB77" s="8"/>
      <c r="BC77" s="8"/>
      <c r="BD77" s="8"/>
      <c r="BE77" s="185"/>
      <c r="BF77" s="13"/>
      <c r="BG77" s="14"/>
      <c r="BH77" s="14"/>
      <c r="BI77" s="15"/>
      <c r="BJ77" s="28"/>
      <c r="BK77" s="7" t="str">
        <f>BK33</f>
        <v>Hintere Schulter</v>
      </c>
      <c r="BL77" s="8">
        <v>3</v>
      </c>
      <c r="BM77" s="8">
        <v>8</v>
      </c>
      <c r="BN77" s="33"/>
      <c r="BO77" s="5" t="s">
        <v>3</v>
      </c>
      <c r="BP77" s="34"/>
      <c r="BQ77" s="8">
        <v>6</v>
      </c>
      <c r="BR77" s="8"/>
      <c r="BS77" s="8"/>
      <c r="BT77" s="185"/>
      <c r="BU77" s="13"/>
      <c r="BV77" s="14"/>
      <c r="BW77" s="14"/>
      <c r="BX77" s="15"/>
    </row>
    <row r="78" spans="3:76" ht="15.6" x14ac:dyDescent="0.3">
      <c r="C78" s="9"/>
      <c r="D78" s="10"/>
      <c r="E78" s="10"/>
      <c r="F78" s="48"/>
      <c r="G78" s="4" t="s">
        <v>3</v>
      </c>
      <c r="H78" s="39"/>
      <c r="I78" s="10"/>
      <c r="J78" s="10"/>
      <c r="K78" s="10"/>
      <c r="L78" s="186"/>
      <c r="M78" s="16"/>
      <c r="N78" s="17"/>
      <c r="O78" s="17"/>
      <c r="P78" s="18"/>
      <c r="R78" s="9"/>
      <c r="S78" s="10"/>
      <c r="T78" s="10"/>
      <c r="U78" s="74"/>
      <c r="V78" s="4" t="s">
        <v>3</v>
      </c>
      <c r="W78" s="76"/>
      <c r="X78" s="10"/>
      <c r="Y78" s="10"/>
      <c r="Z78" s="10"/>
      <c r="AA78" s="186"/>
      <c r="AB78" s="16"/>
      <c r="AC78" s="17"/>
      <c r="AD78" s="17"/>
      <c r="AE78" s="18"/>
      <c r="AG78" s="9"/>
      <c r="AH78" s="10"/>
      <c r="AI78" s="10"/>
      <c r="AJ78" s="48"/>
      <c r="AK78" s="4" t="s">
        <v>3</v>
      </c>
      <c r="AL78" s="39"/>
      <c r="AM78" s="10"/>
      <c r="AN78" s="10"/>
      <c r="AO78" s="10"/>
      <c r="AP78" s="186"/>
      <c r="AQ78" s="16"/>
      <c r="AR78" s="17"/>
      <c r="AS78" s="17"/>
      <c r="AT78" s="18"/>
      <c r="AV78" s="9"/>
      <c r="AW78" s="10"/>
      <c r="AX78" s="10"/>
      <c r="AY78" s="74"/>
      <c r="AZ78" s="4" t="s">
        <v>3</v>
      </c>
      <c r="BA78" s="76"/>
      <c r="BB78" s="10"/>
      <c r="BC78" s="10"/>
      <c r="BD78" s="10"/>
      <c r="BE78" s="186"/>
      <c r="BF78" s="16"/>
      <c r="BG78" s="17"/>
      <c r="BH78" s="17"/>
      <c r="BI78" s="18"/>
      <c r="BJ78" s="28"/>
      <c r="BK78" s="9"/>
      <c r="BL78" s="10"/>
      <c r="BM78" s="10"/>
      <c r="BN78" s="48"/>
      <c r="BO78" s="4" t="s">
        <v>3</v>
      </c>
      <c r="BP78" s="39"/>
      <c r="BQ78" s="10"/>
      <c r="BR78" s="10"/>
      <c r="BS78" s="10"/>
      <c r="BT78" s="186"/>
      <c r="BU78" s="16"/>
      <c r="BV78" s="17"/>
      <c r="BW78" s="17"/>
      <c r="BX78" s="18"/>
    </row>
    <row r="79" spans="3:76" ht="16.2" thickBot="1" x14ac:dyDescent="0.35">
      <c r="C79" s="11"/>
      <c r="D79" s="12"/>
      <c r="E79" s="12"/>
      <c r="F79" s="49"/>
      <c r="G79" s="6" t="s">
        <v>3</v>
      </c>
      <c r="H79" s="40"/>
      <c r="I79" s="12"/>
      <c r="J79" s="12"/>
      <c r="K79" s="12"/>
      <c r="L79" s="187"/>
      <c r="M79" s="19"/>
      <c r="N79" s="20"/>
      <c r="O79" s="20"/>
      <c r="P79" s="21"/>
      <c r="R79" s="11"/>
      <c r="S79" s="12"/>
      <c r="T79" s="12"/>
      <c r="U79" s="75"/>
      <c r="V79" s="6" t="s">
        <v>3</v>
      </c>
      <c r="W79" s="77"/>
      <c r="X79" s="12"/>
      <c r="Y79" s="12"/>
      <c r="Z79" s="12"/>
      <c r="AA79" s="187"/>
      <c r="AB79" s="19"/>
      <c r="AC79" s="20"/>
      <c r="AD79" s="20"/>
      <c r="AE79" s="21"/>
      <c r="AG79" s="11"/>
      <c r="AH79" s="12"/>
      <c r="AI79" s="12"/>
      <c r="AJ79" s="49"/>
      <c r="AK79" s="6" t="s">
        <v>3</v>
      </c>
      <c r="AL79" s="40"/>
      <c r="AM79" s="12"/>
      <c r="AN79" s="12"/>
      <c r="AO79" s="12"/>
      <c r="AP79" s="187"/>
      <c r="AQ79" s="19"/>
      <c r="AR79" s="20"/>
      <c r="AS79" s="20"/>
      <c r="AT79" s="21"/>
      <c r="AV79" s="11"/>
      <c r="AW79" s="12"/>
      <c r="AX79" s="12"/>
      <c r="AY79" s="75"/>
      <c r="AZ79" s="6" t="s">
        <v>3</v>
      </c>
      <c r="BA79" s="77"/>
      <c r="BB79" s="12"/>
      <c r="BC79" s="12"/>
      <c r="BD79" s="12"/>
      <c r="BE79" s="187"/>
      <c r="BF79" s="19"/>
      <c r="BG79" s="20"/>
      <c r="BH79" s="20"/>
      <c r="BI79" s="21"/>
      <c r="BJ79" s="28"/>
      <c r="BK79" s="11"/>
      <c r="BL79" s="12"/>
      <c r="BM79" s="12"/>
      <c r="BN79" s="49"/>
      <c r="BO79" s="6" t="s">
        <v>3</v>
      </c>
      <c r="BP79" s="40"/>
      <c r="BQ79" s="12"/>
      <c r="BR79" s="12"/>
      <c r="BS79" s="12"/>
      <c r="BT79" s="187"/>
      <c r="BU79" s="19"/>
      <c r="BV79" s="20"/>
      <c r="BW79" s="20"/>
      <c r="BX79" s="21"/>
    </row>
  </sheetData>
  <mergeCells count="222">
    <mergeCell ref="J2:S2"/>
    <mergeCell ref="U72:W72"/>
    <mergeCell ref="AJ72:AL72"/>
    <mergeCell ref="F72:H72"/>
    <mergeCell ref="AY72:BA72"/>
    <mergeCell ref="BF62:BI62"/>
    <mergeCell ref="BF54:BI54"/>
    <mergeCell ref="BF46:BI46"/>
    <mergeCell ref="BF40:BI40"/>
    <mergeCell ref="AB50:AE50"/>
    <mergeCell ref="AB51:AE51"/>
    <mergeCell ref="AB52:AE52"/>
    <mergeCell ref="AB41:AE41"/>
    <mergeCell ref="AB42:AE42"/>
    <mergeCell ref="AB43:AE43"/>
    <mergeCell ref="AB44:AE44"/>
    <mergeCell ref="M55:P55"/>
    <mergeCell ref="M56:P56"/>
    <mergeCell ref="M57:P57"/>
    <mergeCell ref="BF50:BI50"/>
    <mergeCell ref="AQ41:AT41"/>
    <mergeCell ref="AQ42:AT42"/>
    <mergeCell ref="AQ43:AT43"/>
    <mergeCell ref="AQ52:AT52"/>
    <mergeCell ref="BN72:BP72"/>
    <mergeCell ref="BF72:BI72"/>
    <mergeCell ref="BU72:BX72"/>
    <mergeCell ref="AQ72:AT72"/>
    <mergeCell ref="AB72:AE72"/>
    <mergeCell ref="M72:P72"/>
    <mergeCell ref="M63:P63"/>
    <mergeCell ref="F63:H63"/>
    <mergeCell ref="AB63:AE63"/>
    <mergeCell ref="AQ63:AT63"/>
    <mergeCell ref="AJ63:AL63"/>
    <mergeCell ref="M64:P64"/>
    <mergeCell ref="BF63:BI63"/>
    <mergeCell ref="BF65:BI65"/>
    <mergeCell ref="BF66:BI66"/>
    <mergeCell ref="BF67:BI67"/>
    <mergeCell ref="BF68:BI68"/>
    <mergeCell ref="BF64:BI64"/>
    <mergeCell ref="BU64:BX64"/>
    <mergeCell ref="BU62:BX62"/>
    <mergeCell ref="AB62:AE62"/>
    <mergeCell ref="AB64:AE64"/>
    <mergeCell ref="BN63:BP63"/>
    <mergeCell ref="BF57:BI57"/>
    <mergeCell ref="BU57:BX57"/>
    <mergeCell ref="AY61:BA61"/>
    <mergeCell ref="BF61:BI61"/>
    <mergeCell ref="BN61:BP61"/>
    <mergeCell ref="BU61:BX61"/>
    <mergeCell ref="AQ62:AT62"/>
    <mergeCell ref="AQ64:AT64"/>
    <mergeCell ref="AJ61:AL61"/>
    <mergeCell ref="AQ61:AT61"/>
    <mergeCell ref="BF41:BI41"/>
    <mergeCell ref="BU41:BX41"/>
    <mergeCell ref="BF42:BI42"/>
    <mergeCell ref="BU42:BX42"/>
    <mergeCell ref="BU46:BX46"/>
    <mergeCell ref="BU54:BX54"/>
    <mergeCell ref="BF55:BI55"/>
    <mergeCell ref="BU55:BX55"/>
    <mergeCell ref="BF56:BI56"/>
    <mergeCell ref="BU56:BX56"/>
    <mergeCell ref="BF51:BI51"/>
    <mergeCell ref="BU51:BX51"/>
    <mergeCell ref="BF52:BI52"/>
    <mergeCell ref="BU52:BX52"/>
    <mergeCell ref="BF53:BI53"/>
    <mergeCell ref="BU53:BX53"/>
    <mergeCell ref="AJ50:AL50"/>
    <mergeCell ref="AQ50:AT50"/>
    <mergeCell ref="AQ51:AT51"/>
    <mergeCell ref="BN50:BP50"/>
    <mergeCell ref="BU50:BX50"/>
    <mergeCell ref="BF43:BI43"/>
    <mergeCell ref="BU43:BX43"/>
    <mergeCell ref="BF44:BI44"/>
    <mergeCell ref="BU44:BX44"/>
    <mergeCell ref="BF45:BI45"/>
    <mergeCell ref="BU45:BX45"/>
    <mergeCell ref="AY50:BA50"/>
    <mergeCell ref="M41:P41"/>
    <mergeCell ref="M42:P42"/>
    <mergeCell ref="M43:P43"/>
    <mergeCell ref="M44:P44"/>
    <mergeCell ref="M45:P45"/>
    <mergeCell ref="M46:P46"/>
    <mergeCell ref="AB53:AE53"/>
    <mergeCell ref="AB54:AE54"/>
    <mergeCell ref="AB55:AE55"/>
    <mergeCell ref="AQ53:AT53"/>
    <mergeCell ref="AQ54:AT54"/>
    <mergeCell ref="AQ55:AT55"/>
    <mergeCell ref="AQ56:AT56"/>
    <mergeCell ref="AQ57:AT57"/>
    <mergeCell ref="AQ44:AT44"/>
    <mergeCell ref="AQ45:AT45"/>
    <mergeCell ref="M62:P62"/>
    <mergeCell ref="F50:H50"/>
    <mergeCell ref="M50:P50"/>
    <mergeCell ref="M51:P51"/>
    <mergeCell ref="M52:P52"/>
    <mergeCell ref="M53:P53"/>
    <mergeCell ref="M54:P54"/>
    <mergeCell ref="AB56:AE56"/>
    <mergeCell ref="AB57:AE57"/>
    <mergeCell ref="U61:W61"/>
    <mergeCell ref="AB61:AE61"/>
    <mergeCell ref="AB45:AE45"/>
    <mergeCell ref="AB46:AE46"/>
    <mergeCell ref="U50:W50"/>
    <mergeCell ref="F61:H61"/>
    <mergeCell ref="M61:P61"/>
    <mergeCell ref="AQ46:AT46"/>
    <mergeCell ref="BU34:BX34"/>
    <mergeCell ref="BU35:BX35"/>
    <mergeCell ref="F39:H39"/>
    <mergeCell ref="M39:P39"/>
    <mergeCell ref="M40:P40"/>
    <mergeCell ref="AY39:BA39"/>
    <mergeCell ref="BF39:BI39"/>
    <mergeCell ref="BN39:BP39"/>
    <mergeCell ref="BU39:BX39"/>
    <mergeCell ref="U39:W39"/>
    <mergeCell ref="AB39:AE39"/>
    <mergeCell ref="AB40:AE40"/>
    <mergeCell ref="AJ39:AL39"/>
    <mergeCell ref="AQ39:AT39"/>
    <mergeCell ref="AQ40:AT40"/>
    <mergeCell ref="BU40:BX40"/>
    <mergeCell ref="BN28:BP28"/>
    <mergeCell ref="BU28:BX28"/>
    <mergeCell ref="BU29:BX29"/>
    <mergeCell ref="BU30:BX30"/>
    <mergeCell ref="BU31:BX31"/>
    <mergeCell ref="BU32:BX32"/>
    <mergeCell ref="BF35:BI35"/>
    <mergeCell ref="AQ34:AT34"/>
    <mergeCell ref="AQ35:AT35"/>
    <mergeCell ref="AY28:BA28"/>
    <mergeCell ref="BF28:BI28"/>
    <mergeCell ref="BF29:BI29"/>
    <mergeCell ref="BF30:BI30"/>
    <mergeCell ref="BF31:BI31"/>
    <mergeCell ref="BF32:BI32"/>
    <mergeCell ref="BF33:BI33"/>
    <mergeCell ref="BF34:BI34"/>
    <mergeCell ref="AQ28:AT28"/>
    <mergeCell ref="AQ29:AT29"/>
    <mergeCell ref="AQ30:AT30"/>
    <mergeCell ref="AQ31:AT31"/>
    <mergeCell ref="AQ32:AT32"/>
    <mergeCell ref="AQ33:AT33"/>
    <mergeCell ref="BU33:BX33"/>
    <mergeCell ref="AB31:AE31"/>
    <mergeCell ref="AB32:AE32"/>
    <mergeCell ref="AB33:AE33"/>
    <mergeCell ref="AB34:AE34"/>
    <mergeCell ref="AB35:AE35"/>
    <mergeCell ref="AJ28:AL28"/>
    <mergeCell ref="F28:H28"/>
    <mergeCell ref="M35:P35"/>
    <mergeCell ref="M34:P34"/>
    <mergeCell ref="M33:P33"/>
    <mergeCell ref="M32:P32"/>
    <mergeCell ref="M31:P31"/>
    <mergeCell ref="M30:P30"/>
    <mergeCell ref="M29:P29"/>
    <mergeCell ref="M28:P28"/>
    <mergeCell ref="U28:W28"/>
    <mergeCell ref="AB28:AE28"/>
    <mergeCell ref="AB29:AE29"/>
    <mergeCell ref="AB30:AE30"/>
    <mergeCell ref="F17:H17"/>
    <mergeCell ref="M17:P17"/>
    <mergeCell ref="U17:W17"/>
    <mergeCell ref="AB17:AE17"/>
    <mergeCell ref="AJ17:AL17"/>
    <mergeCell ref="AQ17:AT17"/>
    <mergeCell ref="AY17:BA17"/>
    <mergeCell ref="BF17:BI17"/>
    <mergeCell ref="BN17:BP17"/>
    <mergeCell ref="BU17:BX17"/>
    <mergeCell ref="M18:P18"/>
    <mergeCell ref="AB18:AE18"/>
    <mergeCell ref="AQ18:AT18"/>
    <mergeCell ref="BF18:BI18"/>
    <mergeCell ref="BU18:BX18"/>
    <mergeCell ref="M19:P19"/>
    <mergeCell ref="AB19:AE19"/>
    <mergeCell ref="AQ19:AT19"/>
    <mergeCell ref="BF19:BI19"/>
    <mergeCell ref="BU19:BX19"/>
    <mergeCell ref="M20:P20"/>
    <mergeCell ref="AB20:AE20"/>
    <mergeCell ref="AQ20:AT20"/>
    <mergeCell ref="BF20:BI20"/>
    <mergeCell ref="BU20:BX20"/>
    <mergeCell ref="M21:P21"/>
    <mergeCell ref="AB21:AE21"/>
    <mergeCell ref="AQ21:AT21"/>
    <mergeCell ref="BF21:BI21"/>
    <mergeCell ref="BU21:BX21"/>
    <mergeCell ref="M24:P24"/>
    <mergeCell ref="AB24:AE24"/>
    <mergeCell ref="AQ24:AT24"/>
    <mergeCell ref="BF24:BI24"/>
    <mergeCell ref="BU24:BX24"/>
    <mergeCell ref="M22:P22"/>
    <mergeCell ref="AB22:AE22"/>
    <mergeCell ref="AQ22:AT22"/>
    <mergeCell ref="BF22:BI22"/>
    <mergeCell ref="BU22:BX22"/>
    <mergeCell ref="M23:P23"/>
    <mergeCell ref="AB23:AE23"/>
    <mergeCell ref="AQ23:AT23"/>
    <mergeCell ref="BF23:BI23"/>
    <mergeCell ref="BU23:BX23"/>
  </mergeCells>
  <dataValidations count="12">
    <dataValidation type="list" allowBlank="1" showInputMessage="1" showErrorMessage="1" sqref="C19" xr:uid="{00000000-0002-0000-0000-000000000000}">
      <formula1>$CA$28:$CA$30</formula1>
    </dataValidation>
    <dataValidation type="list" allowBlank="1" showInputMessage="1" showErrorMessage="1" sqref="C20" xr:uid="{00000000-0002-0000-0000-000001000000}">
      <formula1>$CA$31:$CA$35</formula1>
    </dataValidation>
    <dataValidation type="list" allowBlank="1" showInputMessage="1" showErrorMessage="1" sqref="C21" xr:uid="{00000000-0002-0000-0000-000002000000}">
      <formula1>$CA$36:$CA$38</formula1>
    </dataValidation>
    <dataValidation type="list" allowBlank="1" showInputMessage="1" showErrorMessage="1" sqref="R19" xr:uid="{00000000-0002-0000-0000-000003000000}">
      <formula1>$CC$28:$CC$30</formula1>
    </dataValidation>
    <dataValidation type="list" allowBlank="1" showInputMessage="1" showErrorMessage="1" sqref="R20" xr:uid="{00000000-0002-0000-0000-000004000000}">
      <formula1>$CC$31:$CC$36</formula1>
    </dataValidation>
    <dataValidation type="list" allowBlank="1" showInputMessage="1" showErrorMessage="1" sqref="AG19" xr:uid="{00000000-0002-0000-0000-000005000000}">
      <formula1>$CE$28:$CE$30</formula1>
    </dataValidation>
    <dataValidation type="list" allowBlank="1" showInputMessage="1" showErrorMessage="1" sqref="AG20" xr:uid="{00000000-0002-0000-0000-000006000000}">
      <formula1>$CE$31:$CE$34</formula1>
    </dataValidation>
    <dataValidation type="list" allowBlank="1" showInputMessage="1" showErrorMessage="1" sqref="AV19" xr:uid="{00000000-0002-0000-0000-000007000000}">
      <formula1>$CG$28:$CG$31</formula1>
    </dataValidation>
    <dataValidation type="list" allowBlank="1" showInputMessage="1" showErrorMessage="1" sqref="AV20" xr:uid="{00000000-0002-0000-0000-000008000000}">
      <formula1>$CG$32:$CG$35</formula1>
    </dataValidation>
    <dataValidation type="list" allowBlank="1" showInputMessage="1" showErrorMessage="1" sqref="BK20" xr:uid="{00000000-0002-0000-0000-000009000000}">
      <formula1>$CC$31:$CC$34</formula1>
    </dataValidation>
    <dataValidation type="list" allowBlank="1" showInputMessage="1" showErrorMessage="1" sqref="BK22 R21" xr:uid="{00000000-0002-0000-0000-00000A000000}">
      <formula1>$CC$37:$CC$41</formula1>
    </dataValidation>
    <dataValidation type="list" allowBlank="1" showInputMessage="1" showErrorMessage="1" sqref="BK21" xr:uid="{53935BEA-1B6D-4FA1-8D5F-B73A8EB42567}">
      <formula1>$CA$40:$CA$43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T32 T54 T43 T66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A0000"/>
  </sheetPr>
  <dimension ref="B1:CG74"/>
  <sheetViews>
    <sheetView showGridLines="0" zoomScale="70" zoomScaleNormal="70" workbookViewId="0">
      <selection activeCell="C4" sqref="C4"/>
    </sheetView>
  </sheetViews>
  <sheetFormatPr baseColWidth="10" defaultColWidth="11.44140625" defaultRowHeight="14.4" x14ac:dyDescent="0.3"/>
  <cols>
    <col min="1" max="2" width="5.6640625" customWidth="1"/>
    <col min="3" max="3" width="32.44140625" bestFit="1" customWidth="1"/>
    <col min="4" max="4" width="12.44140625" customWidth="1"/>
    <col min="5" max="5" width="20.6640625" bestFit="1" customWidth="1"/>
    <col min="6" max="6" width="12.44140625" style="46" customWidth="1"/>
    <col min="7" max="7" width="22.44140625" bestFit="1" customWidth="1"/>
    <col min="8" max="8" width="12.44140625" style="51" customWidth="1"/>
    <col min="9" max="9" width="12.44140625" customWidth="1"/>
    <col min="10" max="10" width="24.5546875" customWidth="1"/>
    <col min="11" max="11" width="22.88671875" bestFit="1" customWidth="1"/>
    <col min="12" max="12" width="22.88671875" style="127" customWidth="1"/>
    <col min="17" max="17" width="5.6640625" style="25" customWidth="1"/>
    <col min="18" max="18" width="34.33203125" style="25" bestFit="1" customWidth="1"/>
    <col min="19" max="20" width="12.44140625" style="25" customWidth="1"/>
    <col min="21" max="21" width="12.44140625" style="73" customWidth="1"/>
    <col min="22" max="22" width="12.44140625" style="25" customWidth="1"/>
    <col min="23" max="23" width="12.44140625" style="73" customWidth="1"/>
    <col min="24" max="24" width="12.44140625" style="25" customWidth="1"/>
    <col min="25" max="25" width="24.5546875" style="25" customWidth="1"/>
    <col min="26" max="26" width="22.88671875" style="25" bestFit="1" customWidth="1"/>
    <col min="27" max="27" width="22.88671875" style="127" customWidth="1"/>
    <col min="28" max="31" width="11.44140625" style="25"/>
    <col min="32" max="32" width="5.6640625" style="25" customWidth="1"/>
    <col min="33" max="33" width="25.5546875" style="25" bestFit="1" customWidth="1"/>
    <col min="34" max="35" width="12.44140625" style="25" customWidth="1"/>
    <col min="36" max="36" width="12.44140625" style="54" customWidth="1"/>
    <col min="37" max="37" width="12.44140625" style="25" customWidth="1"/>
    <col min="38" max="38" width="12.44140625" style="55" customWidth="1"/>
    <col min="39" max="39" width="12.44140625" style="25" customWidth="1"/>
    <col min="40" max="40" width="24.5546875" style="25" customWidth="1"/>
    <col min="41" max="41" width="22.88671875" style="25" bestFit="1" customWidth="1"/>
    <col min="42" max="42" width="22.88671875" style="127" customWidth="1"/>
    <col min="43" max="46" width="11.44140625" style="25"/>
    <col min="47" max="47" width="5.6640625" style="25" customWidth="1"/>
    <col min="48" max="48" width="32.44140625" style="25" bestFit="1" customWidth="1"/>
    <col min="49" max="50" width="12.44140625" style="25" customWidth="1"/>
    <col min="51" max="51" width="12.44140625" style="54" customWidth="1"/>
    <col min="52" max="52" width="12.44140625" style="25" customWidth="1"/>
    <col min="53" max="53" width="12.44140625" style="55" customWidth="1"/>
    <col min="54" max="54" width="12.44140625" style="25" customWidth="1"/>
    <col min="55" max="55" width="24.5546875" style="25" customWidth="1"/>
    <col min="56" max="56" width="22.88671875" style="25" bestFit="1" customWidth="1"/>
    <col min="57" max="57" width="22.88671875" style="127" customWidth="1"/>
    <col min="58" max="61" width="11.44140625" style="25"/>
    <col min="62" max="62" width="5.6640625" style="25" customWidth="1"/>
    <col min="63" max="63" width="34.33203125" style="25" bestFit="1" customWidth="1"/>
    <col min="64" max="65" width="12.44140625" style="25" customWidth="1"/>
    <col min="66" max="66" width="12.44140625" style="54" customWidth="1"/>
    <col min="67" max="67" width="12.44140625" style="25" customWidth="1"/>
    <col min="68" max="68" width="12.44140625" style="55" customWidth="1"/>
    <col min="69" max="69" width="12.44140625" style="25" customWidth="1"/>
    <col min="70" max="70" width="24.5546875" style="25" customWidth="1"/>
    <col min="71" max="71" width="22.88671875" bestFit="1" customWidth="1"/>
    <col min="72" max="72" width="22.88671875" style="127" customWidth="1"/>
    <col min="79" max="79" width="22" style="30" hidden="1" customWidth="1"/>
    <col min="80" max="80" width="11.44140625" style="30" hidden="1" customWidth="1"/>
    <col min="81" max="81" width="20" style="30" hidden="1" customWidth="1"/>
    <col min="82" max="82" width="11.44140625" style="30" hidden="1" customWidth="1"/>
    <col min="83" max="83" width="24.6640625" style="30" hidden="1" customWidth="1"/>
    <col min="84" max="84" width="11.44140625" style="30" hidden="1" customWidth="1"/>
    <col min="85" max="85" width="19" style="30" hidden="1" customWidth="1"/>
    <col min="86" max="86" width="11.44140625" customWidth="1"/>
  </cols>
  <sheetData>
    <row r="1" spans="2:16" ht="15.6" customHeight="1" x14ac:dyDescent="0.3"/>
    <row r="2" spans="2:16" ht="20.399999999999999" customHeight="1" thickBot="1" x14ac:dyDescent="0.35">
      <c r="C2" s="1"/>
      <c r="D2" s="1"/>
      <c r="E2" s="1"/>
      <c r="F2" s="47"/>
      <c r="G2" s="1"/>
      <c r="H2" s="50"/>
      <c r="I2" s="1"/>
      <c r="J2" s="1"/>
      <c r="K2" s="1"/>
      <c r="M2" s="1"/>
      <c r="N2" s="1"/>
      <c r="O2" s="1"/>
      <c r="P2" s="1"/>
    </row>
    <row r="3" spans="2:16" ht="21" customHeight="1" thickBot="1" x14ac:dyDescent="0.35">
      <c r="B3" s="114"/>
      <c r="C3" s="115"/>
      <c r="D3" s="115"/>
      <c r="E3" s="115"/>
      <c r="F3" s="116"/>
      <c r="G3" s="115"/>
      <c r="H3" s="117"/>
      <c r="I3" s="118"/>
    </row>
    <row r="4" spans="2:16" ht="18.600000000000001" thickBot="1" x14ac:dyDescent="0.4">
      <c r="B4" s="119"/>
      <c r="C4" s="132" t="s">
        <v>65</v>
      </c>
      <c r="D4" s="128"/>
      <c r="E4" s="128"/>
      <c r="F4" s="47"/>
      <c r="G4" s="1"/>
      <c r="H4" s="50"/>
      <c r="I4" s="120"/>
    </row>
    <row r="5" spans="2:16" ht="15.6" x14ac:dyDescent="0.3">
      <c r="B5" s="119"/>
      <c r="C5" s="163" t="s">
        <v>56</v>
      </c>
      <c r="D5" s="133" t="s">
        <v>57</v>
      </c>
      <c r="E5" s="126" t="s">
        <v>5</v>
      </c>
      <c r="F5" s="47"/>
      <c r="G5" s="1"/>
      <c r="H5" s="50"/>
      <c r="I5" s="120"/>
    </row>
    <row r="6" spans="2:16" ht="15" thickBot="1" x14ac:dyDescent="0.35">
      <c r="B6" s="119"/>
      <c r="C6" s="164">
        <v>0</v>
      </c>
      <c r="D6" s="129">
        <v>0</v>
      </c>
      <c r="E6" s="134">
        <f>(C6*D6*0.0333)+D6</f>
        <v>0</v>
      </c>
      <c r="F6" s="47"/>
      <c r="G6" s="1"/>
      <c r="H6" s="50"/>
      <c r="I6" s="120"/>
    </row>
    <row r="7" spans="2:16" x14ac:dyDescent="0.3">
      <c r="B7" s="119"/>
      <c r="C7" s="1"/>
      <c r="D7" s="1"/>
      <c r="E7" s="1"/>
      <c r="F7" s="47"/>
      <c r="G7" s="1"/>
      <c r="H7" s="50"/>
      <c r="I7" s="120"/>
    </row>
    <row r="8" spans="2:16" ht="15" thickBot="1" x14ac:dyDescent="0.35">
      <c r="B8" s="119"/>
      <c r="C8" s="1"/>
      <c r="D8" s="1"/>
      <c r="E8" s="1"/>
      <c r="F8" s="47"/>
      <c r="G8" s="1"/>
      <c r="H8" s="50"/>
      <c r="I8" s="120"/>
      <c r="J8" s="1"/>
      <c r="K8" s="1"/>
      <c r="M8" s="1"/>
      <c r="N8" s="1"/>
      <c r="O8" s="1"/>
      <c r="P8" s="1"/>
    </row>
    <row r="9" spans="2:16" ht="18.600000000000001" thickBot="1" x14ac:dyDescent="0.4">
      <c r="B9" s="119"/>
      <c r="C9" s="153" t="s">
        <v>68</v>
      </c>
      <c r="D9" s="104" t="s">
        <v>54</v>
      </c>
      <c r="E9" s="158" t="s">
        <v>69</v>
      </c>
      <c r="F9" s="104" t="s">
        <v>54</v>
      </c>
      <c r="G9" s="158" t="s">
        <v>70</v>
      </c>
      <c r="H9" s="105" t="s">
        <v>54</v>
      </c>
      <c r="I9" s="120"/>
      <c r="J9" s="1"/>
      <c r="K9" s="41" t="s">
        <v>5</v>
      </c>
      <c r="M9" s="1"/>
      <c r="N9" s="1"/>
      <c r="O9" s="1"/>
      <c r="P9" s="1"/>
    </row>
    <row r="10" spans="2:16" ht="15.6" x14ac:dyDescent="0.3">
      <c r="B10" s="119"/>
      <c r="C10" s="154" t="s">
        <v>95</v>
      </c>
      <c r="D10" s="108">
        <f>'Block 1'!J60</f>
        <v>0</v>
      </c>
      <c r="E10" s="159" t="s">
        <v>97</v>
      </c>
      <c r="F10" s="108">
        <f>'Block 1'!BR60</f>
        <v>0</v>
      </c>
      <c r="G10" s="159" t="s">
        <v>98</v>
      </c>
      <c r="H10" s="109">
        <f>'Block 1'!AN60</f>
        <v>0</v>
      </c>
      <c r="I10" s="120"/>
      <c r="J10" s="1"/>
      <c r="K10" s="42"/>
      <c r="M10" s="2"/>
      <c r="N10" s="2"/>
      <c r="O10" s="1"/>
      <c r="P10" s="1"/>
    </row>
    <row r="11" spans="2:16" ht="15.6" x14ac:dyDescent="0.3">
      <c r="B11" s="119"/>
      <c r="C11" s="155" t="s">
        <v>74</v>
      </c>
      <c r="D11" s="110">
        <f>D10*0.9</f>
        <v>0</v>
      </c>
      <c r="E11" s="160" t="s">
        <v>84</v>
      </c>
      <c r="F11" s="110">
        <f>F10*0.925</f>
        <v>0</v>
      </c>
      <c r="G11" s="160" t="s">
        <v>102</v>
      </c>
      <c r="H11" s="111">
        <f>0.93*H10</f>
        <v>0</v>
      </c>
      <c r="I11" s="120"/>
      <c r="M11" s="2"/>
      <c r="N11" s="2"/>
      <c r="O11" s="1"/>
      <c r="P11" s="1"/>
    </row>
    <row r="12" spans="2:16" ht="15.6" x14ac:dyDescent="0.3">
      <c r="B12" s="119"/>
      <c r="C12" s="156" t="s">
        <v>75</v>
      </c>
      <c r="D12" s="108">
        <f>D10*0.85</f>
        <v>0</v>
      </c>
      <c r="E12" s="161" t="s">
        <v>85</v>
      </c>
      <c r="F12" s="108">
        <f>F10*0.9</f>
        <v>0</v>
      </c>
      <c r="G12" s="161" t="s">
        <v>101</v>
      </c>
      <c r="H12" s="109">
        <f>0.85*H10</f>
        <v>0</v>
      </c>
      <c r="I12" s="120"/>
      <c r="M12" s="1"/>
      <c r="N12" s="1"/>
      <c r="O12" s="1"/>
      <c r="P12" s="1"/>
    </row>
    <row r="13" spans="2:16" ht="16.2" thickBot="1" x14ac:dyDescent="0.35">
      <c r="B13" s="119"/>
      <c r="C13" s="157" t="s">
        <v>99</v>
      </c>
      <c r="D13" s="112">
        <f>D10*0.875</f>
        <v>0</v>
      </c>
      <c r="E13" s="162" t="s">
        <v>100</v>
      </c>
      <c r="F13" s="112">
        <f>0.9*F10</f>
        <v>0</v>
      </c>
      <c r="G13" s="162" t="s">
        <v>104</v>
      </c>
      <c r="H13" s="113" t="s">
        <v>3</v>
      </c>
      <c r="I13" s="120"/>
      <c r="M13" s="1"/>
      <c r="N13" s="1"/>
      <c r="O13" s="1"/>
      <c r="P13" s="1"/>
    </row>
    <row r="14" spans="2:16" ht="24" customHeight="1" thickBot="1" x14ac:dyDescent="0.35">
      <c r="B14" s="121"/>
      <c r="C14" s="122"/>
      <c r="D14" s="122"/>
      <c r="E14" s="122"/>
      <c r="F14" s="123"/>
      <c r="G14" s="122"/>
      <c r="H14" s="124"/>
      <c r="I14" s="125"/>
      <c r="J14" s="1"/>
      <c r="K14" s="1"/>
      <c r="M14" s="1"/>
      <c r="N14" s="1"/>
      <c r="O14" s="1"/>
      <c r="P14" s="1"/>
    </row>
    <row r="15" spans="2:16" ht="43.2" customHeight="1" thickBot="1" x14ac:dyDescent="0.35">
      <c r="C15" s="1"/>
      <c r="D15" s="1"/>
      <c r="E15" s="1"/>
      <c r="F15" s="47"/>
      <c r="G15" s="1"/>
      <c r="H15" s="50"/>
      <c r="I15" s="1"/>
      <c r="J15" s="1"/>
      <c r="K15" s="1"/>
      <c r="M15" s="1"/>
      <c r="N15" s="1"/>
      <c r="O15" s="1"/>
      <c r="P15" s="1"/>
    </row>
    <row r="16" spans="2:16" ht="24" thickBot="1" x14ac:dyDescent="0.35">
      <c r="C16" s="102" t="s">
        <v>11</v>
      </c>
      <c r="D16" s="1"/>
      <c r="E16" s="1"/>
      <c r="F16" s="47"/>
      <c r="G16" s="1"/>
      <c r="H16" s="50"/>
      <c r="I16" s="1"/>
      <c r="J16" s="1"/>
      <c r="K16" s="1"/>
      <c r="M16" s="1"/>
      <c r="N16" s="1"/>
      <c r="O16" s="1"/>
      <c r="P16" s="1"/>
    </row>
    <row r="17" spans="3:85" ht="18.600000000000001" thickBot="1" x14ac:dyDescent="0.4">
      <c r="C17" s="130" t="s">
        <v>106</v>
      </c>
      <c r="D17" s="219" t="s">
        <v>136</v>
      </c>
      <c r="E17" s="219" t="s">
        <v>56</v>
      </c>
      <c r="F17" s="235" t="s">
        <v>29</v>
      </c>
      <c r="G17" s="235"/>
      <c r="H17" s="241"/>
      <c r="I17" s="219" t="s">
        <v>7</v>
      </c>
      <c r="J17" s="219" t="s">
        <v>137</v>
      </c>
      <c r="K17" s="219" t="s">
        <v>10</v>
      </c>
      <c r="L17" s="218" t="s">
        <v>66</v>
      </c>
      <c r="M17" s="234" t="s">
        <v>9</v>
      </c>
      <c r="N17" s="235"/>
      <c r="O17" s="235"/>
      <c r="P17" s="236"/>
      <c r="Q17" s="26"/>
      <c r="R17" s="130" t="s">
        <v>113</v>
      </c>
      <c r="S17" s="219" t="s">
        <v>136</v>
      </c>
      <c r="T17" s="219" t="s">
        <v>56</v>
      </c>
      <c r="U17" s="235" t="s">
        <v>29</v>
      </c>
      <c r="V17" s="235"/>
      <c r="W17" s="241"/>
      <c r="X17" s="219" t="s">
        <v>7</v>
      </c>
      <c r="Y17" s="219" t="s">
        <v>137</v>
      </c>
      <c r="Z17" s="219" t="s">
        <v>10</v>
      </c>
      <c r="AA17" s="218" t="s">
        <v>66</v>
      </c>
      <c r="AB17" s="234" t="s">
        <v>9</v>
      </c>
      <c r="AC17" s="235"/>
      <c r="AD17" s="235"/>
      <c r="AE17" s="236"/>
      <c r="AF17" s="26"/>
      <c r="AG17" s="130" t="s">
        <v>114</v>
      </c>
      <c r="AH17" s="219" t="s">
        <v>136</v>
      </c>
      <c r="AI17" s="219" t="s">
        <v>56</v>
      </c>
      <c r="AJ17" s="235" t="s">
        <v>29</v>
      </c>
      <c r="AK17" s="235"/>
      <c r="AL17" s="241"/>
      <c r="AM17" s="219" t="s">
        <v>7</v>
      </c>
      <c r="AN17" s="219" t="s">
        <v>137</v>
      </c>
      <c r="AO17" s="219" t="s">
        <v>10</v>
      </c>
      <c r="AP17" s="218" t="s">
        <v>66</v>
      </c>
      <c r="AQ17" s="234" t="s">
        <v>9</v>
      </c>
      <c r="AR17" s="235"/>
      <c r="AS17" s="235"/>
      <c r="AT17" s="236"/>
      <c r="AU17" s="26"/>
      <c r="AV17" s="130" t="s">
        <v>115</v>
      </c>
      <c r="AW17" s="219" t="s">
        <v>136</v>
      </c>
      <c r="AX17" s="219" t="s">
        <v>56</v>
      </c>
      <c r="AY17" s="235" t="s">
        <v>29</v>
      </c>
      <c r="AZ17" s="235"/>
      <c r="BA17" s="241"/>
      <c r="BB17" s="219" t="s">
        <v>7</v>
      </c>
      <c r="BC17" s="219" t="s">
        <v>137</v>
      </c>
      <c r="BD17" s="219" t="s">
        <v>10</v>
      </c>
      <c r="BE17" s="218" t="s">
        <v>66</v>
      </c>
      <c r="BF17" s="234" t="s">
        <v>9</v>
      </c>
      <c r="BG17" s="235"/>
      <c r="BH17" s="235"/>
      <c r="BI17" s="236"/>
      <c r="BJ17" s="29"/>
      <c r="BK17" s="190" t="s">
        <v>116</v>
      </c>
      <c r="BL17" s="219" t="s">
        <v>136</v>
      </c>
      <c r="BM17" s="219" t="s">
        <v>56</v>
      </c>
      <c r="BN17" s="235" t="s">
        <v>29</v>
      </c>
      <c r="BO17" s="235"/>
      <c r="BP17" s="241"/>
      <c r="BQ17" s="219" t="s">
        <v>7</v>
      </c>
      <c r="BR17" s="219" t="s">
        <v>137</v>
      </c>
      <c r="BS17" s="219" t="s">
        <v>10</v>
      </c>
      <c r="BT17" s="218" t="s">
        <v>66</v>
      </c>
      <c r="BU17" s="234" t="s">
        <v>9</v>
      </c>
      <c r="BV17" s="235"/>
      <c r="BW17" s="235"/>
      <c r="BX17" s="236"/>
      <c r="CA17" s="152" t="s">
        <v>82</v>
      </c>
      <c r="CC17" s="152" t="s">
        <v>17</v>
      </c>
      <c r="CD17" s="152"/>
      <c r="CE17" s="152" t="s">
        <v>81</v>
      </c>
      <c r="CF17" s="152"/>
      <c r="CG17" s="152" t="s">
        <v>83</v>
      </c>
    </row>
    <row r="18" spans="3:85" ht="15.6" x14ac:dyDescent="0.3">
      <c r="C18" s="151" t="s">
        <v>95</v>
      </c>
      <c r="D18" s="8">
        <v>1</v>
      </c>
      <c r="E18" s="8">
        <v>1</v>
      </c>
      <c r="F18" s="33">
        <f>(0.9*D10)-5</f>
        <v>-5</v>
      </c>
      <c r="G18" s="5" t="s">
        <v>3</v>
      </c>
      <c r="H18" s="34">
        <f>(0.9*D10)+5</f>
        <v>5</v>
      </c>
      <c r="I18" s="35">
        <v>8</v>
      </c>
      <c r="J18" s="8" t="s">
        <v>61</v>
      </c>
      <c r="K18" s="8"/>
      <c r="L18" s="185"/>
      <c r="M18" s="237"/>
      <c r="N18" s="238"/>
      <c r="O18" s="238"/>
      <c r="P18" s="239"/>
      <c r="Q18" s="27"/>
      <c r="R18" s="151" t="s">
        <v>97</v>
      </c>
      <c r="S18" s="8">
        <v>3</v>
      </c>
      <c r="T18" s="8">
        <v>8</v>
      </c>
      <c r="U18" s="36">
        <f>(0.71*F10)-5</f>
        <v>-5</v>
      </c>
      <c r="V18" s="5" t="s">
        <v>3</v>
      </c>
      <c r="W18" s="34">
        <f>(0.71*F10)+5</f>
        <v>5</v>
      </c>
      <c r="X18" s="35" t="s">
        <v>30</v>
      </c>
      <c r="Y18" s="8" t="s">
        <v>62</v>
      </c>
      <c r="Z18" s="8"/>
      <c r="AA18" s="185"/>
      <c r="AB18" s="237"/>
      <c r="AC18" s="238"/>
      <c r="AD18" s="238"/>
      <c r="AE18" s="239"/>
      <c r="AF18" s="27"/>
      <c r="AG18" s="151" t="s">
        <v>98</v>
      </c>
      <c r="AH18" s="8">
        <v>1</v>
      </c>
      <c r="AI18" s="8">
        <v>1</v>
      </c>
      <c r="AJ18" s="33">
        <f>(0.86*H10)-5</f>
        <v>-5</v>
      </c>
      <c r="AK18" s="5" t="s">
        <v>3</v>
      </c>
      <c r="AL18" s="34">
        <f>(0.86*H10)+5</f>
        <v>5</v>
      </c>
      <c r="AM18" s="35">
        <v>7</v>
      </c>
      <c r="AN18" s="8" t="s">
        <v>40</v>
      </c>
      <c r="AO18" s="8"/>
      <c r="AP18" s="185"/>
      <c r="AQ18" s="237"/>
      <c r="AR18" s="238"/>
      <c r="AS18" s="238"/>
      <c r="AT18" s="239"/>
      <c r="AU18" s="27"/>
      <c r="AV18" s="151" t="s">
        <v>99</v>
      </c>
      <c r="AW18" s="8">
        <v>3</v>
      </c>
      <c r="AX18" s="8">
        <v>7</v>
      </c>
      <c r="AY18" s="33">
        <f>(0.7*D13)-5</f>
        <v>-5</v>
      </c>
      <c r="AZ18" s="5" t="s">
        <v>3</v>
      </c>
      <c r="BA18" s="34">
        <f>(0.7*D13)+5</f>
        <v>5</v>
      </c>
      <c r="BB18" s="35" t="s">
        <v>30</v>
      </c>
      <c r="BC18" s="8" t="s">
        <v>61</v>
      </c>
      <c r="BD18" s="8"/>
      <c r="BE18" s="185"/>
      <c r="BF18" s="237"/>
      <c r="BG18" s="238"/>
      <c r="BH18" s="238"/>
      <c r="BI18" s="239"/>
      <c r="BJ18" s="28"/>
      <c r="BK18" s="193" t="s">
        <v>97</v>
      </c>
      <c r="BL18" s="8">
        <v>1</v>
      </c>
      <c r="BM18" s="8">
        <v>1</v>
      </c>
      <c r="BN18" s="33">
        <f>(0.86*F10)-5</f>
        <v>-5</v>
      </c>
      <c r="BO18" s="5" t="s">
        <v>3</v>
      </c>
      <c r="BP18" s="34">
        <f>(0.86*F10)+5</f>
        <v>5</v>
      </c>
      <c r="BQ18" s="35">
        <v>7</v>
      </c>
      <c r="BR18" s="8" t="s">
        <v>62</v>
      </c>
      <c r="BS18" s="8"/>
      <c r="BT18" s="185"/>
      <c r="BU18" s="237"/>
      <c r="BV18" s="238"/>
      <c r="BW18" s="238"/>
      <c r="BX18" s="240"/>
      <c r="CA18" s="152" t="s">
        <v>74</v>
      </c>
      <c r="CC18" s="152" t="s">
        <v>18</v>
      </c>
      <c r="CD18" s="152"/>
      <c r="CE18" s="152" t="s">
        <v>84</v>
      </c>
      <c r="CF18" s="152"/>
      <c r="CG18" s="152" t="s">
        <v>87</v>
      </c>
    </row>
    <row r="19" spans="3:85" ht="16.2" thickBot="1" x14ac:dyDescent="0.35">
      <c r="C19" s="151" t="s">
        <v>95</v>
      </c>
      <c r="D19" s="8">
        <v>4</v>
      </c>
      <c r="E19" s="8">
        <v>6</v>
      </c>
      <c r="F19" s="33">
        <f>(0.72*D10)-5</f>
        <v>-5</v>
      </c>
      <c r="G19" s="5" t="s">
        <v>3</v>
      </c>
      <c r="H19" s="34">
        <f>(0.72*D10)+5</f>
        <v>5</v>
      </c>
      <c r="I19" s="35">
        <v>7</v>
      </c>
      <c r="J19" s="8" t="s">
        <v>61</v>
      </c>
      <c r="K19" s="8"/>
      <c r="L19" s="185"/>
      <c r="M19" s="135"/>
      <c r="N19" s="136"/>
      <c r="O19" s="136"/>
      <c r="P19" s="137"/>
      <c r="Q19" s="27"/>
      <c r="R19" s="90"/>
      <c r="S19" s="8"/>
      <c r="T19" s="8"/>
      <c r="U19" s="36"/>
      <c r="V19" s="5" t="s">
        <v>3</v>
      </c>
      <c r="W19" s="34"/>
      <c r="X19" s="35"/>
      <c r="Y19" s="8"/>
      <c r="Z19" s="8"/>
      <c r="AA19" s="185"/>
      <c r="AB19" s="135"/>
      <c r="AC19" s="136"/>
      <c r="AD19" s="136"/>
      <c r="AE19" s="137"/>
      <c r="AF19" s="27"/>
      <c r="AG19" s="151" t="s">
        <v>98</v>
      </c>
      <c r="AH19" s="8">
        <v>4</v>
      </c>
      <c r="AI19" s="8">
        <v>5</v>
      </c>
      <c r="AJ19" s="33">
        <f>(0.75*H10)-5</f>
        <v>-5</v>
      </c>
      <c r="AK19" s="5" t="s">
        <v>3</v>
      </c>
      <c r="AL19" s="34">
        <f>(0.75*H10)+5</f>
        <v>5</v>
      </c>
      <c r="AM19" s="35">
        <v>7</v>
      </c>
      <c r="AN19" s="8" t="s">
        <v>40</v>
      </c>
      <c r="AO19" s="8"/>
      <c r="AP19" s="185"/>
      <c r="AQ19" s="135"/>
      <c r="AR19" s="136"/>
      <c r="AS19" s="136"/>
      <c r="AT19" s="137"/>
      <c r="AU19" s="27"/>
      <c r="AV19" s="90"/>
      <c r="AW19" s="8"/>
      <c r="AX19" s="8"/>
      <c r="AY19" s="33"/>
      <c r="AZ19" s="5" t="s">
        <v>3</v>
      </c>
      <c r="BA19" s="34"/>
      <c r="BB19" s="35"/>
      <c r="BC19" s="8"/>
      <c r="BD19" s="8"/>
      <c r="BE19" s="185"/>
      <c r="BF19" s="135"/>
      <c r="BG19" s="136"/>
      <c r="BH19" s="136"/>
      <c r="BI19" s="137"/>
      <c r="BJ19" s="28"/>
      <c r="BK19" s="193" t="s">
        <v>97</v>
      </c>
      <c r="BL19" s="8">
        <v>4</v>
      </c>
      <c r="BM19" s="8">
        <v>6</v>
      </c>
      <c r="BN19" s="33">
        <f>(0.72*F10)-5</f>
        <v>-5</v>
      </c>
      <c r="BO19" s="5" t="s">
        <v>3</v>
      </c>
      <c r="BP19" s="34">
        <f>(0.72*F10)+5</f>
        <v>5</v>
      </c>
      <c r="BQ19" s="35">
        <v>7</v>
      </c>
      <c r="BR19" s="8" t="s">
        <v>62</v>
      </c>
      <c r="BS19" s="8"/>
      <c r="BT19" s="185"/>
      <c r="BU19" s="166"/>
      <c r="BV19" s="167"/>
      <c r="BW19" s="167"/>
      <c r="BX19" s="203"/>
      <c r="CA19" s="152" t="s">
        <v>75</v>
      </c>
      <c r="CC19" s="152" t="s">
        <v>19</v>
      </c>
      <c r="CD19" s="152"/>
      <c r="CE19" s="152" t="s">
        <v>85</v>
      </c>
      <c r="CF19" s="152"/>
      <c r="CG19" s="152" t="s">
        <v>88</v>
      </c>
    </row>
    <row r="20" spans="3:85" ht="16.2" thickBot="1" x14ac:dyDescent="0.35">
      <c r="C20" s="53" t="s">
        <v>86</v>
      </c>
      <c r="D20" s="10">
        <v>2</v>
      </c>
      <c r="E20" s="10">
        <v>10</v>
      </c>
      <c r="F20" s="48"/>
      <c r="G20" s="4" t="s">
        <v>3</v>
      </c>
      <c r="H20" s="39"/>
      <c r="I20" s="32" t="s">
        <v>30</v>
      </c>
      <c r="J20" s="10"/>
      <c r="K20" s="10"/>
      <c r="L20" s="186"/>
      <c r="M20" s="230"/>
      <c r="N20" s="231"/>
      <c r="O20" s="231"/>
      <c r="P20" s="232"/>
      <c r="Q20" s="27"/>
      <c r="R20" s="79" t="s">
        <v>17</v>
      </c>
      <c r="S20" s="10">
        <v>3</v>
      </c>
      <c r="T20" s="32" t="s">
        <v>35</v>
      </c>
      <c r="U20" s="37"/>
      <c r="V20" s="4" t="s">
        <v>3</v>
      </c>
      <c r="W20" s="39"/>
      <c r="X20" s="32" t="s">
        <v>30</v>
      </c>
      <c r="Y20" s="10"/>
      <c r="Z20" s="10"/>
      <c r="AA20" s="186"/>
      <c r="AB20" s="230"/>
      <c r="AC20" s="231"/>
      <c r="AD20" s="231"/>
      <c r="AE20" s="232"/>
      <c r="AF20" s="27"/>
      <c r="AG20" s="79" t="s">
        <v>81</v>
      </c>
      <c r="AH20" s="10">
        <v>2</v>
      </c>
      <c r="AI20" s="10">
        <v>4</v>
      </c>
      <c r="AJ20" s="48">
        <f>IF(AG20="3ct. WK-Bankdrücken",(F11*0.76)-5,(F12*0.76)-5)</f>
        <v>-5</v>
      </c>
      <c r="AK20" s="4" t="s">
        <v>3</v>
      </c>
      <c r="AL20" s="39">
        <f>IF(AG20="3ct. WK-Bankdrücken",(F11*0.76)+5,(F12*0.76)+5)</f>
        <v>5</v>
      </c>
      <c r="AM20" s="32" t="s">
        <v>31</v>
      </c>
      <c r="AN20" s="10" t="s">
        <v>62</v>
      </c>
      <c r="AO20" s="10"/>
      <c r="AP20" s="186"/>
      <c r="AQ20" s="230"/>
      <c r="AR20" s="231"/>
      <c r="AS20" s="231"/>
      <c r="AT20" s="232"/>
      <c r="AU20" s="27"/>
      <c r="AV20" s="79" t="s">
        <v>83</v>
      </c>
      <c r="AW20" s="10">
        <v>3</v>
      </c>
      <c r="AX20" s="10">
        <v>5</v>
      </c>
      <c r="AY20" s="48">
        <f>IF(AV20="1ct. WK-Kreuzheben",((0.75*H12)-5),((0.75*H11)-5))</f>
        <v>-5</v>
      </c>
      <c r="AZ20" s="4" t="s">
        <v>3</v>
      </c>
      <c r="BA20" s="39">
        <f>IF(AV20="1ct. WK-Kreuzheben",((0.75*H12)+5),((0.75*H11)+5))</f>
        <v>5</v>
      </c>
      <c r="BB20" s="32">
        <v>7</v>
      </c>
      <c r="BC20" s="10" t="s">
        <v>40</v>
      </c>
      <c r="BD20" s="10"/>
      <c r="BE20" s="186"/>
      <c r="BF20" s="230"/>
      <c r="BG20" s="231"/>
      <c r="BH20" s="231"/>
      <c r="BI20" s="232"/>
      <c r="BJ20" s="28"/>
      <c r="BK20" s="194" t="s">
        <v>100</v>
      </c>
      <c r="BL20" s="10">
        <v>2</v>
      </c>
      <c r="BM20" s="10">
        <v>6</v>
      </c>
      <c r="BN20" s="48">
        <f>(0.7*F13)-5</f>
        <v>-5</v>
      </c>
      <c r="BO20" s="4" t="s">
        <v>3</v>
      </c>
      <c r="BP20" s="39">
        <f>(0.7*F13)+5</f>
        <v>5</v>
      </c>
      <c r="BQ20" s="32" t="s">
        <v>31</v>
      </c>
      <c r="BR20" s="10" t="s">
        <v>62</v>
      </c>
      <c r="BS20" s="10"/>
      <c r="BT20" s="186"/>
      <c r="BU20" s="230"/>
      <c r="BV20" s="231"/>
      <c r="BW20" s="231"/>
      <c r="BX20" s="233"/>
      <c r="CA20" s="152" t="s">
        <v>71</v>
      </c>
      <c r="CC20" s="152" t="s">
        <v>76</v>
      </c>
      <c r="CD20" s="152"/>
      <c r="CE20" s="152" t="s">
        <v>86</v>
      </c>
      <c r="CF20" s="152"/>
      <c r="CG20" s="152" t="s">
        <v>89</v>
      </c>
    </row>
    <row r="21" spans="3:85" ht="16.2" customHeight="1" thickBot="1" x14ac:dyDescent="0.35">
      <c r="C21" s="80" t="s">
        <v>71</v>
      </c>
      <c r="D21" s="8">
        <v>3</v>
      </c>
      <c r="E21" s="31" t="s">
        <v>41</v>
      </c>
      <c r="F21" s="33"/>
      <c r="G21" s="5" t="s">
        <v>3</v>
      </c>
      <c r="H21" s="34"/>
      <c r="I21" s="35" t="s">
        <v>30</v>
      </c>
      <c r="J21" s="8"/>
      <c r="K21" s="8"/>
      <c r="L21" s="185"/>
      <c r="M21" s="226"/>
      <c r="N21" s="227"/>
      <c r="O21" s="227"/>
      <c r="P21" s="228"/>
      <c r="Q21" s="27"/>
      <c r="R21" s="80" t="s">
        <v>76</v>
      </c>
      <c r="S21" s="8">
        <v>3</v>
      </c>
      <c r="T21" s="8">
        <f>IF(OR(R21="Dips",C22="LH Schulterdrücken"),6,8)</f>
        <v>8</v>
      </c>
      <c r="U21" s="36"/>
      <c r="V21" s="5" t="s">
        <v>3</v>
      </c>
      <c r="W21" s="34"/>
      <c r="X21" s="35" t="s">
        <v>30</v>
      </c>
      <c r="Y21" s="8"/>
      <c r="Z21" s="8"/>
      <c r="AA21" s="185"/>
      <c r="AB21" s="226"/>
      <c r="AC21" s="227"/>
      <c r="AD21" s="227"/>
      <c r="AE21" s="228"/>
      <c r="AF21" s="27"/>
      <c r="AG21" s="82" t="s">
        <v>82</v>
      </c>
      <c r="AH21" s="83">
        <v>3</v>
      </c>
      <c r="AI21" s="83">
        <v>4</v>
      </c>
      <c r="AJ21" s="84">
        <f>IF(AG21="2ct. WK-Kniebeuge",(D11*0.76)-5,(D12*0.76)-5)</f>
        <v>-5</v>
      </c>
      <c r="AK21" s="85" t="s">
        <v>3</v>
      </c>
      <c r="AL21" s="86">
        <f>IF(AG21="2ct. WK-Kniebeuge",(D11*0.76)+5,(D12*0.76)+5)</f>
        <v>5</v>
      </c>
      <c r="AM21" s="87" t="s">
        <v>31</v>
      </c>
      <c r="AN21" s="83" t="s">
        <v>61</v>
      </c>
      <c r="AO21" s="83"/>
      <c r="AP21" s="185"/>
      <c r="AQ21" s="246" t="s">
        <v>32</v>
      </c>
      <c r="AR21" s="247"/>
      <c r="AS21" s="247"/>
      <c r="AT21" s="248"/>
      <c r="AU21" s="27"/>
      <c r="AV21" s="80" t="s">
        <v>17</v>
      </c>
      <c r="AW21" s="8">
        <v>3</v>
      </c>
      <c r="AX21" s="35" t="s">
        <v>41</v>
      </c>
      <c r="AY21" s="33"/>
      <c r="AZ21" s="5" t="s">
        <v>3</v>
      </c>
      <c r="BA21" s="34"/>
      <c r="BB21" s="35" t="s">
        <v>30</v>
      </c>
      <c r="BC21" s="8"/>
      <c r="BD21" s="8"/>
      <c r="BE21" s="185"/>
      <c r="BF21" s="226"/>
      <c r="BG21" s="227"/>
      <c r="BH21" s="227"/>
      <c r="BI21" s="228"/>
      <c r="BJ21" s="28"/>
      <c r="BK21" s="204" t="s">
        <v>76</v>
      </c>
      <c r="BL21" s="8">
        <v>2</v>
      </c>
      <c r="BM21" s="8" t="str">
        <f>IF(OR(BK21="Dips",BK21="Military Press"),"6-8","8-10")</f>
        <v>8-10</v>
      </c>
      <c r="BN21" s="33"/>
      <c r="BO21" s="5" t="s">
        <v>3</v>
      </c>
      <c r="BP21" s="34"/>
      <c r="BQ21" s="35" t="s">
        <v>30</v>
      </c>
      <c r="BR21" s="8"/>
      <c r="BS21" s="8"/>
      <c r="BT21" s="185"/>
      <c r="BU21" s="226"/>
      <c r="BV21" s="227"/>
      <c r="BW21" s="227"/>
      <c r="BX21" s="229"/>
      <c r="CA21" s="152" t="s">
        <v>59</v>
      </c>
      <c r="CC21" s="152" t="s">
        <v>0</v>
      </c>
      <c r="CD21" s="152"/>
      <c r="CE21" s="152" t="s">
        <v>25</v>
      </c>
      <c r="CF21" s="152"/>
      <c r="CG21" s="152" t="s">
        <v>17</v>
      </c>
    </row>
    <row r="22" spans="3:85" ht="16.2" thickBot="1" x14ac:dyDescent="0.35">
      <c r="C22" s="79" t="s">
        <v>1</v>
      </c>
      <c r="D22" s="10">
        <v>3</v>
      </c>
      <c r="E22" s="32" t="s">
        <v>41</v>
      </c>
      <c r="F22" s="48"/>
      <c r="G22" s="4" t="s">
        <v>3</v>
      </c>
      <c r="H22" s="39"/>
      <c r="I22" s="32" t="s">
        <v>30</v>
      </c>
      <c r="J22" s="10"/>
      <c r="K22" s="10"/>
      <c r="L22" s="186"/>
      <c r="M22" s="230"/>
      <c r="N22" s="231"/>
      <c r="O22" s="231"/>
      <c r="P22" s="232"/>
      <c r="Q22" s="27"/>
      <c r="R22" s="79" t="s">
        <v>92</v>
      </c>
      <c r="S22" s="10">
        <v>3</v>
      </c>
      <c r="T22" s="32" t="s">
        <v>28</v>
      </c>
      <c r="U22" s="37"/>
      <c r="V22" s="4" t="s">
        <v>3</v>
      </c>
      <c r="W22" s="39"/>
      <c r="X22" s="32" t="s">
        <v>30</v>
      </c>
      <c r="Y22" s="10"/>
      <c r="Z22" s="10"/>
      <c r="AA22" s="186"/>
      <c r="AB22" s="230"/>
      <c r="AC22" s="231"/>
      <c r="AD22" s="231"/>
      <c r="AE22" s="232"/>
      <c r="AF22" s="27"/>
      <c r="AG22" s="9" t="s">
        <v>21</v>
      </c>
      <c r="AH22" s="32" t="s">
        <v>37</v>
      </c>
      <c r="AI22" s="32" t="s">
        <v>38</v>
      </c>
      <c r="AJ22" s="48"/>
      <c r="AK22" s="4" t="s">
        <v>3</v>
      </c>
      <c r="AL22" s="39"/>
      <c r="AM22" s="32" t="s">
        <v>30</v>
      </c>
      <c r="AN22" s="10"/>
      <c r="AO22" s="10"/>
      <c r="AP22" s="186"/>
      <c r="AQ22" s="230"/>
      <c r="AR22" s="231"/>
      <c r="AS22" s="231"/>
      <c r="AT22" s="232"/>
      <c r="AU22" s="27"/>
      <c r="AV22" s="9" t="s">
        <v>26</v>
      </c>
      <c r="AW22" s="10">
        <v>3</v>
      </c>
      <c r="AX22" s="10">
        <v>8</v>
      </c>
      <c r="AY22" s="48"/>
      <c r="AZ22" s="4" t="s">
        <v>3</v>
      </c>
      <c r="BA22" s="39"/>
      <c r="BB22" s="32" t="s">
        <v>30</v>
      </c>
      <c r="BC22" s="10"/>
      <c r="BD22" s="10"/>
      <c r="BE22" s="186"/>
      <c r="BF22" s="230"/>
      <c r="BG22" s="231"/>
      <c r="BH22" s="231"/>
      <c r="BI22" s="232"/>
      <c r="BJ22" s="28"/>
      <c r="BK22" s="205" t="s">
        <v>71</v>
      </c>
      <c r="BL22" s="10">
        <v>3</v>
      </c>
      <c r="BM22" s="10" t="str">
        <f>IF(OR(BK22="Pendlay Rudern"),"7","8-10")</f>
        <v>8-10</v>
      </c>
      <c r="BN22" s="48"/>
      <c r="BO22" s="4" t="s">
        <v>3</v>
      </c>
      <c r="BP22" s="39"/>
      <c r="BQ22" s="32" t="s">
        <v>30</v>
      </c>
      <c r="BR22" s="10"/>
      <c r="BS22" s="10"/>
      <c r="BT22" s="186"/>
      <c r="BU22" s="230"/>
      <c r="BV22" s="231"/>
      <c r="BW22" s="231"/>
      <c r="BX22" s="233"/>
      <c r="CA22" s="152" t="s">
        <v>60</v>
      </c>
      <c r="CC22" s="152" t="s">
        <v>77</v>
      </c>
      <c r="CD22" s="152"/>
      <c r="CE22" s="152" t="s">
        <v>23</v>
      </c>
      <c r="CF22" s="152"/>
      <c r="CG22" s="152" t="s">
        <v>27</v>
      </c>
    </row>
    <row r="23" spans="3:85" ht="16.2" thickBot="1" x14ac:dyDescent="0.35">
      <c r="C23" s="151" t="s">
        <v>96</v>
      </c>
      <c r="D23" s="8">
        <v>2</v>
      </c>
      <c r="E23" s="8"/>
      <c r="F23" s="33"/>
      <c r="G23" s="5" t="s">
        <v>3</v>
      </c>
      <c r="H23" s="34"/>
      <c r="I23" s="8"/>
      <c r="J23" s="8"/>
      <c r="K23" s="8"/>
      <c r="L23" s="185"/>
      <c r="M23" s="226"/>
      <c r="N23" s="227"/>
      <c r="O23" s="227"/>
      <c r="P23" s="228"/>
      <c r="Q23" s="27"/>
      <c r="R23" s="151"/>
      <c r="S23" s="8"/>
      <c r="T23" s="8"/>
      <c r="U23" s="36"/>
      <c r="V23" s="5" t="s">
        <v>3</v>
      </c>
      <c r="W23" s="34"/>
      <c r="X23" s="8"/>
      <c r="Y23" s="8"/>
      <c r="Z23" s="8"/>
      <c r="AA23" s="185"/>
      <c r="AB23" s="226"/>
      <c r="AC23" s="227"/>
      <c r="AD23" s="227"/>
      <c r="AE23" s="228"/>
      <c r="AF23" s="27"/>
      <c r="AG23" s="151" t="s">
        <v>22</v>
      </c>
      <c r="AH23" s="35" t="s">
        <v>37</v>
      </c>
      <c r="AI23" s="35" t="s">
        <v>38</v>
      </c>
      <c r="AJ23" s="33"/>
      <c r="AK23" s="5" t="s">
        <v>3</v>
      </c>
      <c r="AL23" s="34"/>
      <c r="AM23" s="35" t="s">
        <v>30</v>
      </c>
      <c r="AN23" s="8"/>
      <c r="AO23" s="8"/>
      <c r="AP23" s="185"/>
      <c r="AQ23" s="226"/>
      <c r="AR23" s="227"/>
      <c r="AS23" s="227"/>
      <c r="AT23" s="228"/>
      <c r="AU23" s="27"/>
      <c r="AV23" s="151" t="s">
        <v>96</v>
      </c>
      <c r="AW23" s="8">
        <v>2</v>
      </c>
      <c r="AX23" s="8"/>
      <c r="AY23" s="33"/>
      <c r="AZ23" s="5" t="s">
        <v>3</v>
      </c>
      <c r="BA23" s="34"/>
      <c r="BB23" s="8"/>
      <c r="BC23" s="8"/>
      <c r="BD23" s="8"/>
      <c r="BE23" s="185"/>
      <c r="BF23" s="226"/>
      <c r="BG23" s="227"/>
      <c r="BH23" s="227"/>
      <c r="BI23" s="228"/>
      <c r="BJ23" s="28"/>
      <c r="BK23" s="206" t="s">
        <v>92</v>
      </c>
      <c r="BL23" s="8">
        <v>3</v>
      </c>
      <c r="BM23" s="35" t="s">
        <v>41</v>
      </c>
      <c r="BN23" s="33"/>
      <c r="BO23" s="5" t="s">
        <v>3</v>
      </c>
      <c r="BP23" s="34"/>
      <c r="BQ23" s="35" t="s">
        <v>30</v>
      </c>
      <c r="BR23" s="8"/>
      <c r="BS23" s="8"/>
      <c r="BT23" s="185"/>
      <c r="BU23" s="226"/>
      <c r="BV23" s="227"/>
      <c r="BW23" s="227"/>
      <c r="BX23" s="229"/>
      <c r="CA23" s="152" t="s">
        <v>72</v>
      </c>
      <c r="CC23" s="152" t="s">
        <v>78</v>
      </c>
      <c r="CD23" s="152"/>
      <c r="CE23" s="152" t="s">
        <v>24</v>
      </c>
      <c r="CF23" s="152"/>
      <c r="CG23" s="152" t="s">
        <v>18</v>
      </c>
    </row>
    <row r="24" spans="3:85" ht="15.6" x14ac:dyDescent="0.3">
      <c r="C24" s="9"/>
      <c r="D24" s="10"/>
      <c r="E24" s="10"/>
      <c r="F24" s="48"/>
      <c r="G24" s="4" t="s">
        <v>3</v>
      </c>
      <c r="H24" s="39"/>
      <c r="I24" s="10"/>
      <c r="J24" s="10"/>
      <c r="K24" s="10"/>
      <c r="L24" s="186"/>
      <c r="M24" s="230"/>
      <c r="N24" s="231"/>
      <c r="O24" s="231"/>
      <c r="P24" s="232"/>
      <c r="Q24" s="27"/>
      <c r="R24" s="9"/>
      <c r="S24" s="10"/>
      <c r="T24" s="10"/>
      <c r="U24" s="37"/>
      <c r="V24" s="4" t="s">
        <v>3</v>
      </c>
      <c r="W24" s="39"/>
      <c r="X24" s="10"/>
      <c r="Y24" s="10"/>
      <c r="Z24" s="10"/>
      <c r="AA24" s="186"/>
      <c r="AB24" s="230"/>
      <c r="AC24" s="231"/>
      <c r="AD24" s="231"/>
      <c r="AE24" s="232"/>
      <c r="AF24" s="27"/>
      <c r="AG24" s="9"/>
      <c r="AH24" s="10"/>
      <c r="AI24" s="10"/>
      <c r="AJ24" s="48"/>
      <c r="AK24" s="4" t="s">
        <v>3</v>
      </c>
      <c r="AL24" s="39"/>
      <c r="AM24" s="10"/>
      <c r="AN24" s="10"/>
      <c r="AO24" s="10"/>
      <c r="AP24" s="186"/>
      <c r="AQ24" s="230"/>
      <c r="AR24" s="231"/>
      <c r="AS24" s="231"/>
      <c r="AT24" s="232"/>
      <c r="AU24" s="27"/>
      <c r="AV24" s="9"/>
      <c r="AW24" s="10"/>
      <c r="AX24" s="10"/>
      <c r="AY24" s="48"/>
      <c r="AZ24" s="4" t="s">
        <v>3</v>
      </c>
      <c r="BA24" s="39"/>
      <c r="BB24" s="10"/>
      <c r="BC24" s="10"/>
      <c r="BD24" s="10"/>
      <c r="BE24" s="186"/>
      <c r="BF24" s="230"/>
      <c r="BG24" s="231"/>
      <c r="BH24" s="231"/>
      <c r="BI24" s="232"/>
      <c r="BJ24" s="28"/>
      <c r="BK24" s="194"/>
      <c r="BL24" s="10"/>
      <c r="BM24" s="10"/>
      <c r="BN24" s="48"/>
      <c r="BO24" s="4" t="s">
        <v>3</v>
      </c>
      <c r="BP24" s="39"/>
      <c r="BQ24" s="10"/>
      <c r="BR24" s="10"/>
      <c r="BS24" s="10"/>
      <c r="BT24" s="186"/>
      <c r="BU24" s="230"/>
      <c r="BV24" s="231"/>
      <c r="BW24" s="231"/>
      <c r="BX24" s="233"/>
      <c r="CA24" s="152" t="s">
        <v>73</v>
      </c>
      <c r="CC24" s="152" t="s">
        <v>79</v>
      </c>
      <c r="CD24" s="152"/>
      <c r="CE24" s="152"/>
      <c r="CF24" s="152"/>
      <c r="CG24" s="152" t="s">
        <v>19</v>
      </c>
    </row>
    <row r="25" spans="3:85" ht="16.2" thickBot="1" x14ac:dyDescent="0.35">
      <c r="C25" s="11"/>
      <c r="D25" s="12"/>
      <c r="E25" s="12"/>
      <c r="F25" s="49"/>
      <c r="G25" s="6" t="s">
        <v>3</v>
      </c>
      <c r="H25" s="40"/>
      <c r="I25" s="12"/>
      <c r="J25" s="12"/>
      <c r="K25" s="12"/>
      <c r="L25" s="187"/>
      <c r="M25" s="220"/>
      <c r="N25" s="221"/>
      <c r="O25" s="221"/>
      <c r="P25" s="222"/>
      <c r="Q25" s="27"/>
      <c r="R25" s="11"/>
      <c r="S25" s="12"/>
      <c r="T25" s="12"/>
      <c r="U25" s="38"/>
      <c r="V25" s="6" t="s">
        <v>3</v>
      </c>
      <c r="W25" s="40"/>
      <c r="X25" s="12"/>
      <c r="Y25" s="12"/>
      <c r="Z25" s="12"/>
      <c r="AA25" s="187"/>
      <c r="AB25" s="220"/>
      <c r="AC25" s="221"/>
      <c r="AD25" s="221"/>
      <c r="AE25" s="222"/>
      <c r="AF25" s="27"/>
      <c r="AG25" s="11"/>
      <c r="AH25" s="12"/>
      <c r="AI25" s="12"/>
      <c r="AJ25" s="49"/>
      <c r="AK25" s="6" t="s">
        <v>3</v>
      </c>
      <c r="AL25" s="40"/>
      <c r="AM25" s="12"/>
      <c r="AN25" s="12"/>
      <c r="AO25" s="12"/>
      <c r="AP25" s="187"/>
      <c r="AQ25" s="220"/>
      <c r="AR25" s="221"/>
      <c r="AS25" s="221"/>
      <c r="AT25" s="222"/>
      <c r="AU25" s="27"/>
      <c r="AV25" s="11"/>
      <c r="AW25" s="12"/>
      <c r="AX25" s="12"/>
      <c r="AY25" s="49"/>
      <c r="AZ25" s="6" t="s">
        <v>3</v>
      </c>
      <c r="BA25" s="40"/>
      <c r="BB25" s="12"/>
      <c r="BC25" s="12"/>
      <c r="BD25" s="12"/>
      <c r="BE25" s="187"/>
      <c r="BF25" s="220"/>
      <c r="BG25" s="221"/>
      <c r="BH25" s="221"/>
      <c r="BI25" s="222"/>
      <c r="BJ25" s="28"/>
      <c r="BK25" s="197"/>
      <c r="BL25" s="198"/>
      <c r="BM25" s="198"/>
      <c r="BN25" s="199"/>
      <c r="BO25" s="200" t="s">
        <v>3</v>
      </c>
      <c r="BP25" s="201"/>
      <c r="BQ25" s="198"/>
      <c r="BR25" s="198"/>
      <c r="BS25" s="198"/>
      <c r="BT25" s="202"/>
      <c r="BU25" s="223"/>
      <c r="BV25" s="224"/>
      <c r="BW25" s="224"/>
      <c r="BX25" s="225"/>
      <c r="CA25" s="152" t="s">
        <v>1</v>
      </c>
      <c r="CC25" s="152" t="s">
        <v>80</v>
      </c>
      <c r="CD25" s="152"/>
      <c r="CE25" s="152"/>
      <c r="CF25" s="152"/>
      <c r="CG25" s="152"/>
    </row>
    <row r="26" spans="3:85" x14ac:dyDescent="0.3">
      <c r="C26" s="127"/>
      <c r="D26" s="127"/>
      <c r="E26" s="127"/>
      <c r="G26" s="127"/>
      <c r="I26" s="127"/>
      <c r="J26" s="127"/>
      <c r="K26" s="127"/>
      <c r="M26" s="127"/>
      <c r="N26" s="127"/>
      <c r="O26" s="127"/>
      <c r="P26" s="127"/>
      <c r="CA26" s="152" t="s">
        <v>15</v>
      </c>
      <c r="CC26" s="152" t="s">
        <v>92</v>
      </c>
      <c r="CD26" s="152"/>
      <c r="CE26" s="152"/>
      <c r="CF26" s="152"/>
      <c r="CG26" s="152" t="s">
        <v>83</v>
      </c>
    </row>
    <row r="27" spans="3:85" ht="15" thickBot="1" x14ac:dyDescent="0.35">
      <c r="C27" s="127"/>
      <c r="D27" s="127"/>
      <c r="E27" s="127"/>
      <c r="G27" s="127"/>
      <c r="I27" s="127"/>
      <c r="J27" s="127"/>
      <c r="K27" s="127"/>
      <c r="M27" s="127"/>
      <c r="N27" s="127"/>
      <c r="O27" s="127"/>
      <c r="P27" s="127"/>
      <c r="CA27" s="30" t="s">
        <v>16</v>
      </c>
      <c r="CC27" s="152" t="s">
        <v>91</v>
      </c>
      <c r="CG27" s="152" t="s">
        <v>102</v>
      </c>
    </row>
    <row r="28" spans="3:85" ht="24" thickBot="1" x14ac:dyDescent="0.35">
      <c r="C28" s="131" t="s">
        <v>14</v>
      </c>
      <c r="D28" s="1"/>
      <c r="E28" s="1"/>
      <c r="F28" s="47"/>
      <c r="G28" s="1"/>
      <c r="H28" s="50"/>
      <c r="I28" s="1"/>
      <c r="J28" s="1"/>
      <c r="K28" s="1"/>
      <c r="M28" s="1"/>
      <c r="N28" s="1"/>
      <c r="O28" s="1"/>
      <c r="P28" s="1"/>
      <c r="CC28" s="152" t="s">
        <v>93</v>
      </c>
      <c r="CG28" s="152" t="s">
        <v>101</v>
      </c>
    </row>
    <row r="29" spans="3:85" ht="18.600000000000001" thickBot="1" x14ac:dyDescent="0.4">
      <c r="C29" s="130" t="s">
        <v>107</v>
      </c>
      <c r="D29" s="219" t="s">
        <v>136</v>
      </c>
      <c r="E29" s="219" t="s">
        <v>56</v>
      </c>
      <c r="F29" s="235" t="s">
        <v>29</v>
      </c>
      <c r="G29" s="235"/>
      <c r="H29" s="241"/>
      <c r="I29" s="219" t="s">
        <v>7</v>
      </c>
      <c r="J29" s="219" t="s">
        <v>137</v>
      </c>
      <c r="K29" s="219" t="s">
        <v>10</v>
      </c>
      <c r="L29" s="218" t="s">
        <v>66</v>
      </c>
      <c r="M29" s="234" t="s">
        <v>9</v>
      </c>
      <c r="N29" s="235"/>
      <c r="O29" s="235"/>
      <c r="P29" s="236"/>
      <c r="R29" s="130" t="s">
        <v>120</v>
      </c>
      <c r="S29" s="219" t="s">
        <v>136</v>
      </c>
      <c r="T29" s="219" t="s">
        <v>56</v>
      </c>
      <c r="U29" s="235" t="s">
        <v>29</v>
      </c>
      <c r="V29" s="235"/>
      <c r="W29" s="241"/>
      <c r="X29" s="219" t="s">
        <v>7</v>
      </c>
      <c r="Y29" s="219" t="s">
        <v>137</v>
      </c>
      <c r="Z29" s="219" t="s">
        <v>10</v>
      </c>
      <c r="AA29" s="218" t="s">
        <v>66</v>
      </c>
      <c r="AB29" s="234" t="s">
        <v>9</v>
      </c>
      <c r="AC29" s="235"/>
      <c r="AD29" s="235"/>
      <c r="AE29" s="236"/>
      <c r="AG29" s="130" t="s">
        <v>124</v>
      </c>
      <c r="AH29" s="219" t="s">
        <v>136</v>
      </c>
      <c r="AI29" s="219" t="s">
        <v>56</v>
      </c>
      <c r="AJ29" s="235" t="s">
        <v>29</v>
      </c>
      <c r="AK29" s="235"/>
      <c r="AL29" s="241"/>
      <c r="AM29" s="219" t="s">
        <v>7</v>
      </c>
      <c r="AN29" s="219" t="s">
        <v>137</v>
      </c>
      <c r="AO29" s="219" t="s">
        <v>10</v>
      </c>
      <c r="AP29" s="218" t="s">
        <v>66</v>
      </c>
      <c r="AQ29" s="234" t="s">
        <v>9</v>
      </c>
      <c r="AR29" s="235"/>
      <c r="AS29" s="235"/>
      <c r="AT29" s="236"/>
      <c r="AV29" s="130" t="s">
        <v>128</v>
      </c>
      <c r="AW29" s="219" t="s">
        <v>136</v>
      </c>
      <c r="AX29" s="219" t="s">
        <v>56</v>
      </c>
      <c r="AY29" s="235" t="s">
        <v>29</v>
      </c>
      <c r="AZ29" s="235"/>
      <c r="BA29" s="241"/>
      <c r="BB29" s="219" t="s">
        <v>7</v>
      </c>
      <c r="BC29" s="219" t="s">
        <v>137</v>
      </c>
      <c r="BD29" s="219" t="s">
        <v>10</v>
      </c>
      <c r="BE29" s="218" t="s">
        <v>66</v>
      </c>
      <c r="BF29" s="234" t="s">
        <v>9</v>
      </c>
      <c r="BG29" s="235"/>
      <c r="BH29" s="235"/>
      <c r="BI29" s="236"/>
      <c r="BJ29" s="29"/>
      <c r="BK29" s="190" t="s">
        <v>132</v>
      </c>
      <c r="BL29" s="219" t="s">
        <v>136</v>
      </c>
      <c r="BM29" s="219" t="s">
        <v>56</v>
      </c>
      <c r="BN29" s="235" t="s">
        <v>29</v>
      </c>
      <c r="BO29" s="235"/>
      <c r="BP29" s="241"/>
      <c r="BQ29" s="219" t="s">
        <v>7</v>
      </c>
      <c r="BR29" s="219" t="s">
        <v>137</v>
      </c>
      <c r="BS29" s="219" t="s">
        <v>10</v>
      </c>
      <c r="BT29" s="218" t="s">
        <v>66</v>
      </c>
      <c r="BU29" s="234" t="s">
        <v>9</v>
      </c>
      <c r="BV29" s="235"/>
      <c r="BW29" s="235"/>
      <c r="BX29" s="236"/>
      <c r="CA29" s="152" t="s">
        <v>71</v>
      </c>
      <c r="CC29" s="152" t="s">
        <v>94</v>
      </c>
    </row>
    <row r="30" spans="3:85" ht="15.6" x14ac:dyDescent="0.3">
      <c r="C30" s="151" t="str">
        <f>C18</f>
        <v>WK-Kniebeuge</v>
      </c>
      <c r="D30" s="8">
        <v>4</v>
      </c>
      <c r="E30" s="8">
        <v>5</v>
      </c>
      <c r="F30" s="33">
        <f>(0.78*D10)-5</f>
        <v>-5</v>
      </c>
      <c r="G30" s="5" t="s">
        <v>3</v>
      </c>
      <c r="H30" s="34">
        <f>(0.78*D10)+5</f>
        <v>5</v>
      </c>
      <c r="I30" s="8">
        <v>8</v>
      </c>
      <c r="J30" s="8" t="s">
        <v>61</v>
      </c>
      <c r="K30" s="8"/>
      <c r="L30" s="185"/>
      <c r="M30" s="237"/>
      <c r="N30" s="238"/>
      <c r="O30" s="238"/>
      <c r="P30" s="239"/>
      <c r="R30" s="151" t="s">
        <v>97</v>
      </c>
      <c r="S30" s="8">
        <v>3</v>
      </c>
      <c r="T30" s="8">
        <v>8</v>
      </c>
      <c r="U30" s="36">
        <f>(0.73*F10)-5</f>
        <v>-5</v>
      </c>
      <c r="V30" s="5" t="s">
        <v>3</v>
      </c>
      <c r="W30" s="34">
        <f>(0.73*F10)+5</f>
        <v>5</v>
      </c>
      <c r="X30" s="8">
        <v>8</v>
      </c>
      <c r="Y30" s="8" t="s">
        <v>62</v>
      </c>
      <c r="Z30" s="8"/>
      <c r="AA30" s="185"/>
      <c r="AB30" s="237"/>
      <c r="AC30" s="238"/>
      <c r="AD30" s="238"/>
      <c r="AE30" s="239"/>
      <c r="AG30" s="151" t="s">
        <v>98</v>
      </c>
      <c r="AH30" s="8">
        <v>4</v>
      </c>
      <c r="AI30" s="8">
        <v>5</v>
      </c>
      <c r="AJ30" s="33">
        <f>(0.78*H10)-5</f>
        <v>-5</v>
      </c>
      <c r="AK30" s="5" t="s">
        <v>3</v>
      </c>
      <c r="AL30" s="34">
        <f>(0.78*H10)+5</f>
        <v>5</v>
      </c>
      <c r="AM30" s="8">
        <v>8</v>
      </c>
      <c r="AN30" s="8" t="s">
        <v>40</v>
      </c>
      <c r="AO30" s="8"/>
      <c r="AP30" s="185"/>
      <c r="AQ30" s="237"/>
      <c r="AR30" s="238"/>
      <c r="AS30" s="238"/>
      <c r="AT30" s="239"/>
      <c r="AV30" s="151" t="s">
        <v>99</v>
      </c>
      <c r="AW30" s="8">
        <v>1</v>
      </c>
      <c r="AX30" s="8">
        <v>1</v>
      </c>
      <c r="AY30" s="33">
        <f>(0.9*D13)-5</f>
        <v>-5</v>
      </c>
      <c r="AZ30" s="5" t="s">
        <v>3</v>
      </c>
      <c r="BA30" s="34">
        <f>(0.9*D13)+5</f>
        <v>5</v>
      </c>
      <c r="BB30" s="8">
        <v>8</v>
      </c>
      <c r="BC30" s="8" t="s">
        <v>61</v>
      </c>
      <c r="BD30" s="8"/>
      <c r="BE30" s="185"/>
      <c r="BF30" s="237"/>
      <c r="BG30" s="238"/>
      <c r="BH30" s="238"/>
      <c r="BI30" s="239"/>
      <c r="BJ30" s="28"/>
      <c r="BK30" s="193" t="s">
        <v>97</v>
      </c>
      <c r="BL30" s="8">
        <v>1</v>
      </c>
      <c r="BM30" s="8">
        <v>1</v>
      </c>
      <c r="BN30" s="33">
        <f>(0.9*F10)-5</f>
        <v>-5</v>
      </c>
      <c r="BO30" s="5" t="s">
        <v>3</v>
      </c>
      <c r="BP30" s="34">
        <f>(0.9*F10)+5</f>
        <v>5</v>
      </c>
      <c r="BQ30" s="8">
        <v>8</v>
      </c>
      <c r="BR30" s="8" t="s">
        <v>62</v>
      </c>
      <c r="BS30" s="8"/>
      <c r="BT30" s="185"/>
      <c r="BU30" s="237"/>
      <c r="BV30" s="238"/>
      <c r="BW30" s="238"/>
      <c r="BX30" s="239"/>
      <c r="CA30" s="152" t="s">
        <v>90</v>
      </c>
      <c r="CC30" s="152" t="s">
        <v>20</v>
      </c>
    </row>
    <row r="31" spans="3:85" ht="16.2" thickBot="1" x14ac:dyDescent="0.35">
      <c r="C31" s="151"/>
      <c r="D31" s="8"/>
      <c r="E31" s="8"/>
      <c r="F31" s="33"/>
      <c r="G31" s="5"/>
      <c r="H31" s="34"/>
      <c r="I31" s="8"/>
      <c r="J31" s="8"/>
      <c r="K31" s="8"/>
      <c r="L31" s="185"/>
      <c r="M31" s="135"/>
      <c r="N31" s="136"/>
      <c r="O31" s="136"/>
      <c r="P31" s="137"/>
      <c r="R31" s="151"/>
      <c r="S31" s="8"/>
      <c r="T31" s="8"/>
      <c r="U31" s="36"/>
      <c r="V31" s="5" t="s">
        <v>3</v>
      </c>
      <c r="W31" s="34"/>
      <c r="X31" s="8"/>
      <c r="Y31" s="8"/>
      <c r="Z31" s="8"/>
      <c r="AA31" s="185"/>
      <c r="AB31" s="135"/>
      <c r="AC31" s="136"/>
      <c r="AD31" s="136"/>
      <c r="AE31" s="137"/>
      <c r="AG31" s="151"/>
      <c r="AH31" s="8"/>
      <c r="AI31" s="8"/>
      <c r="AJ31" s="33"/>
      <c r="AK31" s="5" t="s">
        <v>3</v>
      </c>
      <c r="AL31" s="34"/>
      <c r="AM31" s="8"/>
      <c r="AN31" s="8"/>
      <c r="AO31" s="8"/>
      <c r="AP31" s="185"/>
      <c r="AQ31" s="135"/>
      <c r="AR31" s="136"/>
      <c r="AS31" s="136"/>
      <c r="AT31" s="137"/>
      <c r="AV31" s="151" t="s">
        <v>99</v>
      </c>
      <c r="AW31" s="8">
        <v>4</v>
      </c>
      <c r="AX31" s="8">
        <v>7</v>
      </c>
      <c r="AY31" s="33">
        <f>(0.72*D13)-5</f>
        <v>-5</v>
      </c>
      <c r="AZ31" s="5" t="s">
        <v>3</v>
      </c>
      <c r="BA31" s="34">
        <f>(0.72*D13)+5</f>
        <v>5</v>
      </c>
      <c r="BB31" s="8">
        <v>8</v>
      </c>
      <c r="BC31" s="8" t="s">
        <v>61</v>
      </c>
      <c r="BD31" s="8"/>
      <c r="BE31" s="185"/>
      <c r="BF31" s="135"/>
      <c r="BG31" s="136"/>
      <c r="BH31" s="136"/>
      <c r="BI31" s="137"/>
      <c r="BJ31" s="28"/>
      <c r="BK31" s="193" t="s">
        <v>97</v>
      </c>
      <c r="BL31" s="8">
        <v>4</v>
      </c>
      <c r="BM31" s="8">
        <v>5</v>
      </c>
      <c r="BN31" s="33">
        <f>(0.78*F10)-5</f>
        <v>-5</v>
      </c>
      <c r="BO31" s="5" t="s">
        <v>3</v>
      </c>
      <c r="BP31" s="34">
        <f>(0.78*F10)+5</f>
        <v>5</v>
      </c>
      <c r="BQ31" s="8">
        <v>8</v>
      </c>
      <c r="BR31" s="8" t="s">
        <v>62</v>
      </c>
      <c r="BS31" s="8"/>
      <c r="BT31" s="185"/>
      <c r="BU31" s="13"/>
      <c r="BV31" s="14"/>
      <c r="BW31" s="14"/>
      <c r="BX31" s="15"/>
      <c r="CA31" s="152" t="s">
        <v>59</v>
      </c>
    </row>
    <row r="32" spans="3:85" ht="16.2" thickBot="1" x14ac:dyDescent="0.35">
      <c r="C32" s="9" t="str">
        <f>C20</f>
        <v>Unterkörperübung, unilateral</v>
      </c>
      <c r="D32" s="10">
        <v>2</v>
      </c>
      <c r="E32" s="10">
        <v>10</v>
      </c>
      <c r="F32" s="48"/>
      <c r="G32" s="4" t="s">
        <v>3</v>
      </c>
      <c r="H32" s="39"/>
      <c r="I32" s="32" t="s">
        <v>30</v>
      </c>
      <c r="J32" s="10"/>
      <c r="K32" s="10"/>
      <c r="L32" s="186"/>
      <c r="M32" s="230"/>
      <c r="N32" s="231"/>
      <c r="O32" s="231"/>
      <c r="P32" s="232"/>
      <c r="R32" s="9" t="str">
        <f>R20</f>
        <v>Latzug</v>
      </c>
      <c r="S32" s="10">
        <v>3</v>
      </c>
      <c r="T32" s="32" t="s">
        <v>35</v>
      </c>
      <c r="U32" s="37"/>
      <c r="V32" s="4" t="s">
        <v>3</v>
      </c>
      <c r="W32" s="39"/>
      <c r="X32" s="32" t="s">
        <v>30</v>
      </c>
      <c r="Y32" s="10"/>
      <c r="Z32" s="10"/>
      <c r="AA32" s="186"/>
      <c r="AB32" s="230"/>
      <c r="AC32" s="231"/>
      <c r="AD32" s="231"/>
      <c r="AE32" s="232"/>
      <c r="AG32" s="9" t="str">
        <f>AG20</f>
        <v>Bankdrücken - Variation</v>
      </c>
      <c r="AH32" s="10">
        <v>3</v>
      </c>
      <c r="AI32" s="10">
        <v>4</v>
      </c>
      <c r="AJ32" s="48">
        <f>IF(AG20="3ct. WK-Bankdrücken",(F11*0.78)-5,(F12*0.78)-5)</f>
        <v>-5</v>
      </c>
      <c r="AK32" s="4" t="s">
        <v>3</v>
      </c>
      <c r="AL32" s="39">
        <f>IF(AG20="3ct. WK-Bankdrücken",(F11*0.78)+5,(F12*0.78)+5)</f>
        <v>5</v>
      </c>
      <c r="AM32" s="10">
        <v>7</v>
      </c>
      <c r="AN32" s="10" t="s">
        <v>62</v>
      </c>
      <c r="AO32" s="10"/>
      <c r="AP32" s="186"/>
      <c r="AQ32" s="230"/>
      <c r="AR32" s="231"/>
      <c r="AS32" s="231"/>
      <c r="AT32" s="232"/>
      <c r="AV32" s="91" t="s">
        <v>83</v>
      </c>
      <c r="AW32" s="10">
        <v>3</v>
      </c>
      <c r="AX32" s="10">
        <f>IF(AV32="Kreuzheben im Reißgriff",6,8)</f>
        <v>8</v>
      </c>
      <c r="AY32" s="48"/>
      <c r="AZ32" s="4" t="s">
        <v>3</v>
      </c>
      <c r="BA32" s="39"/>
      <c r="BB32" s="10">
        <v>8</v>
      </c>
      <c r="BC32" s="10" t="s">
        <v>58</v>
      </c>
      <c r="BD32" s="10"/>
      <c r="BE32" s="186"/>
      <c r="BF32" s="230"/>
      <c r="BG32" s="231"/>
      <c r="BH32" s="231"/>
      <c r="BI32" s="232"/>
      <c r="BJ32" s="28"/>
      <c r="BK32" s="194" t="s">
        <v>100</v>
      </c>
      <c r="BL32" s="10">
        <v>2</v>
      </c>
      <c r="BM32" s="10">
        <v>6</v>
      </c>
      <c r="BN32" s="48">
        <f>(0.72*F13)-5</f>
        <v>-5</v>
      </c>
      <c r="BO32" s="4" t="s">
        <v>3</v>
      </c>
      <c r="BP32" s="39">
        <f>(0.72*F13)+5</f>
        <v>5</v>
      </c>
      <c r="BQ32" s="10">
        <v>7</v>
      </c>
      <c r="BR32" s="10" t="s">
        <v>62</v>
      </c>
      <c r="BS32" s="10"/>
      <c r="BT32" s="186"/>
      <c r="BU32" s="230"/>
      <c r="BV32" s="231"/>
      <c r="BW32" s="231"/>
      <c r="BX32" s="232"/>
      <c r="CA32" s="152" t="s">
        <v>60</v>
      </c>
    </row>
    <row r="33" spans="3:76" ht="15.6" x14ac:dyDescent="0.3">
      <c r="C33" s="151" t="str">
        <f t="shared" ref="C33:C35" si="0">C21</f>
        <v>Rudern</v>
      </c>
      <c r="D33" s="8">
        <v>3</v>
      </c>
      <c r="E33" s="31" t="s">
        <v>41</v>
      </c>
      <c r="F33" s="33"/>
      <c r="G33" s="5" t="s">
        <v>3</v>
      </c>
      <c r="H33" s="34"/>
      <c r="I33" s="35" t="s">
        <v>30</v>
      </c>
      <c r="J33" s="8"/>
      <c r="K33" s="8"/>
      <c r="L33" s="185"/>
      <c r="M33" s="226"/>
      <c r="N33" s="227"/>
      <c r="O33" s="227"/>
      <c r="P33" s="228"/>
      <c r="R33" s="151" t="str">
        <f>R21</f>
        <v>Oberkörper Drückbewegung</v>
      </c>
      <c r="S33" s="8">
        <v>3</v>
      </c>
      <c r="T33" s="8">
        <f>IF(OR(R33="Dips",C34="LH Schulterdrücken"),6,8)</f>
        <v>8</v>
      </c>
      <c r="U33" s="36"/>
      <c r="V33" s="5" t="s">
        <v>3</v>
      </c>
      <c r="W33" s="34"/>
      <c r="X33" s="8">
        <v>8</v>
      </c>
      <c r="Y33" s="8"/>
      <c r="Z33" s="8"/>
      <c r="AA33" s="185"/>
      <c r="AB33" s="226"/>
      <c r="AC33" s="227"/>
      <c r="AD33" s="227"/>
      <c r="AE33" s="228"/>
      <c r="AG33" s="88" t="str">
        <f>AG21</f>
        <v>Kniebeuge - Variation</v>
      </c>
      <c r="AH33" s="83">
        <v>3</v>
      </c>
      <c r="AI33" s="83">
        <v>4</v>
      </c>
      <c r="AJ33" s="84">
        <f>IF(AG21="2ct. WK-Kniebeuge",(D11*0.78)-5,(D12*0.78)-5)</f>
        <v>-5</v>
      </c>
      <c r="AK33" s="85" t="s">
        <v>3</v>
      </c>
      <c r="AL33" s="86">
        <f>IF(AG21="2ct. WK-Kniebeuge",(D11*0.78)+5,(D12*0.78)+5)</f>
        <v>5</v>
      </c>
      <c r="AM33" s="83">
        <v>7</v>
      </c>
      <c r="AN33" s="83" t="s">
        <v>61</v>
      </c>
      <c r="AO33" s="83"/>
      <c r="AP33" s="185"/>
      <c r="AQ33" s="246"/>
      <c r="AR33" s="247"/>
      <c r="AS33" s="247"/>
      <c r="AT33" s="248"/>
      <c r="AV33" s="151" t="str">
        <f>AV21</f>
        <v>Latzug</v>
      </c>
      <c r="AW33" s="8">
        <v>3</v>
      </c>
      <c r="AX33" s="35" t="s">
        <v>41</v>
      </c>
      <c r="AY33" s="33"/>
      <c r="AZ33" s="5" t="s">
        <v>3</v>
      </c>
      <c r="BA33" s="34"/>
      <c r="BB33" s="35" t="s">
        <v>30</v>
      </c>
      <c r="BC33" s="8"/>
      <c r="BD33" s="8"/>
      <c r="BE33" s="185"/>
      <c r="BF33" s="226"/>
      <c r="BG33" s="227"/>
      <c r="BH33" s="227"/>
      <c r="BI33" s="228"/>
      <c r="BJ33" s="28"/>
      <c r="BK33" s="151" t="str">
        <f>BK21</f>
        <v>Oberkörper Drückbewegung</v>
      </c>
      <c r="BL33" s="8">
        <v>2</v>
      </c>
      <c r="BM33" s="8" t="str">
        <f>IF(OR(BK33="Dips",BK33="Military Press"),"6-8","8-10")</f>
        <v>8-10</v>
      </c>
      <c r="BN33" s="33"/>
      <c r="BO33" s="5" t="s">
        <v>3</v>
      </c>
      <c r="BP33" s="34"/>
      <c r="BQ33" s="35" t="s">
        <v>30</v>
      </c>
      <c r="BR33" s="8"/>
      <c r="BS33" s="8"/>
      <c r="BT33" s="185"/>
      <c r="BU33" s="226"/>
      <c r="BV33" s="227"/>
      <c r="BW33" s="227"/>
      <c r="BX33" s="228"/>
    </row>
    <row r="34" spans="3:76" ht="15.6" x14ac:dyDescent="0.3">
      <c r="C34" s="9" t="str">
        <f t="shared" si="0"/>
        <v>Beinbeuger</v>
      </c>
      <c r="D34" s="10">
        <v>3</v>
      </c>
      <c r="E34" s="32" t="s">
        <v>41</v>
      </c>
      <c r="F34" s="48"/>
      <c r="G34" s="4" t="s">
        <v>3</v>
      </c>
      <c r="H34" s="39"/>
      <c r="I34" s="32" t="s">
        <v>30</v>
      </c>
      <c r="J34" s="10"/>
      <c r="K34" s="10"/>
      <c r="L34" s="186"/>
      <c r="M34" s="230"/>
      <c r="N34" s="231"/>
      <c r="O34" s="231"/>
      <c r="P34" s="232"/>
      <c r="R34" s="9" t="str">
        <f>R22</f>
        <v>Hintere Schulter</v>
      </c>
      <c r="S34" s="10">
        <v>3</v>
      </c>
      <c r="T34" s="32" t="s">
        <v>28</v>
      </c>
      <c r="U34" s="37"/>
      <c r="V34" s="4" t="s">
        <v>3</v>
      </c>
      <c r="W34" s="39"/>
      <c r="X34" s="32" t="s">
        <v>30</v>
      </c>
      <c r="Y34" s="10"/>
      <c r="Z34" s="10"/>
      <c r="AA34" s="186"/>
      <c r="AB34" s="230"/>
      <c r="AC34" s="231"/>
      <c r="AD34" s="231"/>
      <c r="AE34" s="232"/>
      <c r="AG34" s="9" t="s">
        <v>21</v>
      </c>
      <c r="AH34" s="32" t="s">
        <v>37</v>
      </c>
      <c r="AI34" s="32" t="s">
        <v>38</v>
      </c>
      <c r="AJ34" s="48"/>
      <c r="AK34" s="4" t="s">
        <v>3</v>
      </c>
      <c r="AL34" s="39"/>
      <c r="AM34" s="32" t="s">
        <v>30</v>
      </c>
      <c r="AN34" s="10"/>
      <c r="AO34" s="10"/>
      <c r="AP34" s="186"/>
      <c r="AQ34" s="230"/>
      <c r="AR34" s="231"/>
      <c r="AS34" s="231"/>
      <c r="AT34" s="232"/>
      <c r="AV34" s="9" t="s">
        <v>26</v>
      </c>
      <c r="AW34" s="10">
        <v>3</v>
      </c>
      <c r="AX34" s="10">
        <v>8</v>
      </c>
      <c r="AY34" s="48"/>
      <c r="AZ34" s="4" t="s">
        <v>3</v>
      </c>
      <c r="BA34" s="39"/>
      <c r="BB34" s="32" t="s">
        <v>30</v>
      </c>
      <c r="BC34" s="10"/>
      <c r="BD34" s="10"/>
      <c r="BE34" s="186"/>
      <c r="BF34" s="230"/>
      <c r="BG34" s="231"/>
      <c r="BH34" s="231"/>
      <c r="BI34" s="232"/>
      <c r="BJ34" s="28"/>
      <c r="BK34" s="9" t="str">
        <f>BK22</f>
        <v>Rudern</v>
      </c>
      <c r="BL34" s="10">
        <v>3</v>
      </c>
      <c r="BM34" s="10" t="str">
        <f>IF(OR(BK34="Pendlay Rudern"),"7","8-10")</f>
        <v>8-10</v>
      </c>
      <c r="BN34" s="48"/>
      <c r="BO34" s="4" t="s">
        <v>3</v>
      </c>
      <c r="BP34" s="39"/>
      <c r="BQ34" s="10">
        <v>8</v>
      </c>
      <c r="BR34" s="10"/>
      <c r="BS34" s="10"/>
      <c r="BT34" s="186"/>
      <c r="BU34" s="230"/>
      <c r="BV34" s="231"/>
      <c r="BW34" s="231"/>
      <c r="BX34" s="232"/>
    </row>
    <row r="35" spans="3:76" ht="15.6" x14ac:dyDescent="0.3">
      <c r="C35" s="151" t="str">
        <f t="shared" si="0"/>
        <v>Optional: Unterarmstütz/Ab Roll</v>
      </c>
      <c r="D35" s="8">
        <v>2</v>
      </c>
      <c r="E35" s="8"/>
      <c r="F35" s="33"/>
      <c r="G35" s="5" t="s">
        <v>3</v>
      </c>
      <c r="H35" s="34"/>
      <c r="I35" s="8"/>
      <c r="J35" s="8"/>
      <c r="K35" s="8"/>
      <c r="L35" s="185"/>
      <c r="M35" s="226"/>
      <c r="N35" s="227"/>
      <c r="O35" s="227"/>
      <c r="P35" s="228"/>
      <c r="R35" s="151"/>
      <c r="S35" s="8"/>
      <c r="T35" s="8"/>
      <c r="U35" s="36"/>
      <c r="V35" s="5" t="s">
        <v>3</v>
      </c>
      <c r="W35" s="34"/>
      <c r="X35" s="8"/>
      <c r="Y35" s="8"/>
      <c r="Z35" s="8"/>
      <c r="AA35" s="185"/>
      <c r="AB35" s="226"/>
      <c r="AC35" s="227"/>
      <c r="AD35" s="227"/>
      <c r="AE35" s="228"/>
      <c r="AG35" s="151" t="s">
        <v>22</v>
      </c>
      <c r="AH35" s="35" t="s">
        <v>37</v>
      </c>
      <c r="AI35" s="35" t="s">
        <v>38</v>
      </c>
      <c r="AJ35" s="33"/>
      <c r="AK35" s="5" t="s">
        <v>3</v>
      </c>
      <c r="AL35" s="34"/>
      <c r="AM35" s="35" t="s">
        <v>30</v>
      </c>
      <c r="AN35" s="8"/>
      <c r="AO35" s="8"/>
      <c r="AP35" s="185"/>
      <c r="AQ35" s="226"/>
      <c r="AR35" s="227"/>
      <c r="AS35" s="227"/>
      <c r="AT35" s="228"/>
      <c r="AV35" s="151" t="s">
        <v>96</v>
      </c>
      <c r="AW35" s="8">
        <v>2</v>
      </c>
      <c r="AX35" s="8"/>
      <c r="AY35" s="33"/>
      <c r="AZ35" s="5" t="s">
        <v>3</v>
      </c>
      <c r="BA35" s="34"/>
      <c r="BB35" s="8"/>
      <c r="BC35" s="8"/>
      <c r="BD35" s="8"/>
      <c r="BE35" s="185"/>
      <c r="BF35" s="226"/>
      <c r="BG35" s="227"/>
      <c r="BH35" s="227"/>
      <c r="BI35" s="228"/>
      <c r="BJ35" s="28"/>
      <c r="BK35" s="151" t="str">
        <f>BK23</f>
        <v>Hintere Schulter</v>
      </c>
      <c r="BL35" s="8">
        <v>3</v>
      </c>
      <c r="BM35" s="35" t="s">
        <v>41</v>
      </c>
      <c r="BN35" s="33"/>
      <c r="BO35" s="5" t="s">
        <v>3</v>
      </c>
      <c r="BP35" s="34"/>
      <c r="BQ35" s="35" t="s">
        <v>30</v>
      </c>
      <c r="BR35" s="8"/>
      <c r="BS35" s="8"/>
      <c r="BT35" s="185"/>
      <c r="BU35" s="226"/>
      <c r="BV35" s="227"/>
      <c r="BW35" s="227"/>
      <c r="BX35" s="228"/>
    </row>
    <row r="36" spans="3:76" ht="15.6" x14ac:dyDescent="0.3">
      <c r="C36" s="9"/>
      <c r="D36" s="10"/>
      <c r="E36" s="10"/>
      <c r="F36" s="48"/>
      <c r="G36" s="4" t="s">
        <v>3</v>
      </c>
      <c r="H36" s="39"/>
      <c r="I36" s="10"/>
      <c r="J36" s="10"/>
      <c r="K36" s="10"/>
      <c r="L36" s="186"/>
      <c r="M36" s="230"/>
      <c r="N36" s="231"/>
      <c r="O36" s="231"/>
      <c r="P36" s="232"/>
      <c r="R36" s="9"/>
      <c r="S36" s="10"/>
      <c r="T36" s="10"/>
      <c r="U36" s="37"/>
      <c r="V36" s="4" t="s">
        <v>3</v>
      </c>
      <c r="W36" s="39"/>
      <c r="X36" s="10"/>
      <c r="Y36" s="10"/>
      <c r="Z36" s="10"/>
      <c r="AA36" s="186"/>
      <c r="AB36" s="230"/>
      <c r="AC36" s="231"/>
      <c r="AD36" s="231"/>
      <c r="AE36" s="232"/>
      <c r="AG36" s="9"/>
      <c r="AH36" s="10"/>
      <c r="AI36" s="10"/>
      <c r="AJ36" s="48"/>
      <c r="AK36" s="4" t="s">
        <v>3</v>
      </c>
      <c r="AL36" s="39"/>
      <c r="AM36" s="10"/>
      <c r="AN36" s="10"/>
      <c r="AO36" s="10"/>
      <c r="AP36" s="186"/>
      <c r="AQ36" s="230"/>
      <c r="AR36" s="231"/>
      <c r="AS36" s="231"/>
      <c r="AT36" s="232"/>
      <c r="AV36" s="9"/>
      <c r="AW36" s="10"/>
      <c r="AX36" s="10"/>
      <c r="AY36" s="48"/>
      <c r="AZ36" s="4" t="s">
        <v>3</v>
      </c>
      <c r="BA36" s="39"/>
      <c r="BB36" s="10"/>
      <c r="BC36" s="10"/>
      <c r="BD36" s="10"/>
      <c r="BE36" s="186"/>
      <c r="BF36" s="230"/>
      <c r="BG36" s="231"/>
      <c r="BH36" s="231"/>
      <c r="BI36" s="232"/>
      <c r="BJ36" s="28"/>
      <c r="BK36" s="9"/>
      <c r="BL36" s="10"/>
      <c r="BM36" s="10"/>
      <c r="BN36" s="48"/>
      <c r="BO36" s="4" t="s">
        <v>3</v>
      </c>
      <c r="BP36" s="39"/>
      <c r="BQ36" s="10"/>
      <c r="BR36" s="10"/>
      <c r="BS36" s="10"/>
      <c r="BT36" s="186"/>
      <c r="BU36" s="230"/>
      <c r="BV36" s="231"/>
      <c r="BW36" s="231"/>
      <c r="BX36" s="232"/>
    </row>
    <row r="37" spans="3:76" ht="16.2" thickBot="1" x14ac:dyDescent="0.35">
      <c r="C37" s="11"/>
      <c r="D37" s="12"/>
      <c r="E37" s="12"/>
      <c r="F37" s="49"/>
      <c r="G37" s="6" t="s">
        <v>3</v>
      </c>
      <c r="H37" s="40"/>
      <c r="I37" s="12"/>
      <c r="J37" s="12"/>
      <c r="K37" s="12"/>
      <c r="L37" s="187"/>
      <c r="M37" s="220"/>
      <c r="N37" s="221"/>
      <c r="O37" s="221"/>
      <c r="P37" s="222"/>
      <c r="R37" s="11"/>
      <c r="S37" s="12"/>
      <c r="T37" s="12"/>
      <c r="U37" s="38"/>
      <c r="V37" s="6" t="s">
        <v>3</v>
      </c>
      <c r="W37" s="40"/>
      <c r="X37" s="12"/>
      <c r="Y37" s="12"/>
      <c r="Z37" s="12"/>
      <c r="AA37" s="187"/>
      <c r="AB37" s="220"/>
      <c r="AC37" s="221"/>
      <c r="AD37" s="221"/>
      <c r="AE37" s="222"/>
      <c r="AG37" s="11"/>
      <c r="AH37" s="12"/>
      <c r="AI37" s="12"/>
      <c r="AJ37" s="49"/>
      <c r="AK37" s="6" t="s">
        <v>3</v>
      </c>
      <c r="AL37" s="40"/>
      <c r="AM37" s="12"/>
      <c r="AN37" s="12"/>
      <c r="AO37" s="12"/>
      <c r="AP37" s="187"/>
      <c r="AQ37" s="220"/>
      <c r="AR37" s="221"/>
      <c r="AS37" s="221"/>
      <c r="AT37" s="222"/>
      <c r="AV37" s="11"/>
      <c r="AW37" s="12"/>
      <c r="AX37" s="12"/>
      <c r="AY37" s="49"/>
      <c r="AZ37" s="6" t="s">
        <v>3</v>
      </c>
      <c r="BA37" s="40"/>
      <c r="BB37" s="12"/>
      <c r="BC37" s="12"/>
      <c r="BD37" s="12"/>
      <c r="BE37" s="187"/>
      <c r="BF37" s="220"/>
      <c r="BG37" s="221"/>
      <c r="BH37" s="221"/>
      <c r="BI37" s="222"/>
      <c r="BJ37" s="28"/>
      <c r="BK37" s="11"/>
      <c r="BL37" s="12"/>
      <c r="BM37" s="12"/>
      <c r="BN37" s="49"/>
      <c r="BO37" s="6" t="s">
        <v>3</v>
      </c>
      <c r="BP37" s="40"/>
      <c r="BQ37" s="12"/>
      <c r="BR37" s="12"/>
      <c r="BS37" s="12"/>
      <c r="BT37" s="187"/>
      <c r="BU37" s="220"/>
      <c r="BV37" s="221"/>
      <c r="BW37" s="221"/>
      <c r="BX37" s="222"/>
    </row>
    <row r="39" spans="3:76" ht="15" thickBot="1" x14ac:dyDescent="0.35">
      <c r="C39" s="127"/>
      <c r="D39" s="127"/>
      <c r="E39" s="127"/>
      <c r="G39" s="127"/>
      <c r="I39" s="127"/>
      <c r="J39" s="127"/>
      <c r="K39" s="127"/>
      <c r="M39" s="127"/>
      <c r="N39" s="127"/>
      <c r="O39" s="127"/>
      <c r="P39" s="127"/>
    </row>
    <row r="40" spans="3:76" ht="24" thickBot="1" x14ac:dyDescent="0.35">
      <c r="C40" s="131" t="s">
        <v>13</v>
      </c>
      <c r="D40" s="1"/>
      <c r="E40" s="1"/>
      <c r="F40" s="47"/>
      <c r="G40" s="1"/>
      <c r="H40" s="50"/>
      <c r="I40" s="1"/>
      <c r="J40" s="1"/>
      <c r="K40" s="1"/>
      <c r="M40" s="1"/>
      <c r="N40" s="1"/>
      <c r="O40" s="1"/>
      <c r="P40" s="1"/>
    </row>
    <row r="41" spans="3:76" ht="18.600000000000001" thickBot="1" x14ac:dyDescent="0.4">
      <c r="C41" s="130" t="s">
        <v>117</v>
      </c>
      <c r="D41" s="219" t="s">
        <v>136</v>
      </c>
      <c r="E41" s="219" t="s">
        <v>56</v>
      </c>
      <c r="F41" s="235" t="s">
        <v>29</v>
      </c>
      <c r="G41" s="235"/>
      <c r="H41" s="241"/>
      <c r="I41" s="219" t="s">
        <v>7</v>
      </c>
      <c r="J41" s="219" t="s">
        <v>137</v>
      </c>
      <c r="K41" s="219" t="s">
        <v>10</v>
      </c>
      <c r="L41" s="218" t="s">
        <v>66</v>
      </c>
      <c r="M41" s="234" t="s">
        <v>9</v>
      </c>
      <c r="N41" s="235"/>
      <c r="O41" s="235"/>
      <c r="P41" s="236"/>
      <c r="R41" s="130" t="s">
        <v>121</v>
      </c>
      <c r="S41" s="219" t="s">
        <v>136</v>
      </c>
      <c r="T41" s="219" t="s">
        <v>56</v>
      </c>
      <c r="U41" s="235" t="s">
        <v>29</v>
      </c>
      <c r="V41" s="235"/>
      <c r="W41" s="241"/>
      <c r="X41" s="219" t="s">
        <v>7</v>
      </c>
      <c r="Y41" s="219" t="s">
        <v>137</v>
      </c>
      <c r="Z41" s="219" t="s">
        <v>10</v>
      </c>
      <c r="AA41" s="218" t="s">
        <v>66</v>
      </c>
      <c r="AB41" s="234" t="s">
        <v>9</v>
      </c>
      <c r="AC41" s="235"/>
      <c r="AD41" s="235"/>
      <c r="AE41" s="236"/>
      <c r="AG41" s="130" t="s">
        <v>125</v>
      </c>
      <c r="AH41" s="219" t="s">
        <v>136</v>
      </c>
      <c r="AI41" s="219" t="s">
        <v>56</v>
      </c>
      <c r="AJ41" s="235" t="s">
        <v>29</v>
      </c>
      <c r="AK41" s="235"/>
      <c r="AL41" s="241"/>
      <c r="AM41" s="219" t="s">
        <v>7</v>
      </c>
      <c r="AN41" s="219" t="s">
        <v>137</v>
      </c>
      <c r="AO41" s="219" t="s">
        <v>10</v>
      </c>
      <c r="AP41" s="218" t="s">
        <v>66</v>
      </c>
      <c r="AQ41" s="234" t="s">
        <v>9</v>
      </c>
      <c r="AR41" s="235"/>
      <c r="AS41" s="235"/>
      <c r="AT41" s="236"/>
      <c r="AV41" s="130" t="s">
        <v>129</v>
      </c>
      <c r="AW41" s="219" t="s">
        <v>136</v>
      </c>
      <c r="AX41" s="219" t="s">
        <v>56</v>
      </c>
      <c r="AY41" s="235" t="s">
        <v>29</v>
      </c>
      <c r="AZ41" s="235"/>
      <c r="BA41" s="241"/>
      <c r="BB41" s="219" t="s">
        <v>7</v>
      </c>
      <c r="BC41" s="219" t="s">
        <v>137</v>
      </c>
      <c r="BD41" s="219" t="s">
        <v>10</v>
      </c>
      <c r="BE41" s="218" t="s">
        <v>66</v>
      </c>
      <c r="BF41" s="234" t="s">
        <v>9</v>
      </c>
      <c r="BG41" s="235"/>
      <c r="BH41" s="235"/>
      <c r="BI41" s="236"/>
      <c r="BJ41" s="29"/>
      <c r="BK41" s="190" t="s">
        <v>133</v>
      </c>
      <c r="BL41" s="219" t="s">
        <v>136</v>
      </c>
      <c r="BM41" s="219" t="s">
        <v>56</v>
      </c>
      <c r="BN41" s="235" t="s">
        <v>29</v>
      </c>
      <c r="BO41" s="235"/>
      <c r="BP41" s="241"/>
      <c r="BQ41" s="219" t="s">
        <v>7</v>
      </c>
      <c r="BR41" s="219" t="s">
        <v>137</v>
      </c>
      <c r="BS41" s="219" t="s">
        <v>10</v>
      </c>
      <c r="BT41" s="218" t="s">
        <v>66</v>
      </c>
      <c r="BU41" s="234" t="s">
        <v>9</v>
      </c>
      <c r="BV41" s="235"/>
      <c r="BW41" s="235"/>
      <c r="BX41" s="236"/>
    </row>
    <row r="42" spans="3:76" ht="15.6" x14ac:dyDescent="0.3">
      <c r="C42" s="151" t="str">
        <f>C18</f>
        <v>WK-Kniebeuge</v>
      </c>
      <c r="D42" s="8">
        <v>1</v>
      </c>
      <c r="E42" s="8">
        <v>1</v>
      </c>
      <c r="F42" s="33">
        <f>(0.91*D10)-5</f>
        <v>-5</v>
      </c>
      <c r="G42" s="5" t="s">
        <v>3</v>
      </c>
      <c r="H42" s="34">
        <f>(0.91*D10)+5</f>
        <v>5</v>
      </c>
      <c r="I42" s="8">
        <v>8</v>
      </c>
      <c r="J42" s="8" t="s">
        <v>61</v>
      </c>
      <c r="K42" s="8"/>
      <c r="L42" s="185"/>
      <c r="M42" s="237"/>
      <c r="N42" s="238"/>
      <c r="O42" s="238"/>
      <c r="P42" s="239"/>
      <c r="R42" s="151" t="s">
        <v>97</v>
      </c>
      <c r="S42" s="8">
        <v>3</v>
      </c>
      <c r="T42" s="8">
        <v>6</v>
      </c>
      <c r="U42" s="36">
        <f>(0.75*F10)-5</f>
        <v>-5</v>
      </c>
      <c r="V42" s="5" t="s">
        <v>3</v>
      </c>
      <c r="W42" s="34">
        <f>(0.75*F10)+5</f>
        <v>5</v>
      </c>
      <c r="X42" s="8">
        <v>8</v>
      </c>
      <c r="Y42" s="8" t="s">
        <v>62</v>
      </c>
      <c r="Z42" s="8"/>
      <c r="AA42" s="185"/>
      <c r="AB42" s="237"/>
      <c r="AC42" s="238"/>
      <c r="AD42" s="238"/>
      <c r="AE42" s="239"/>
      <c r="AG42" s="151" t="s">
        <v>98</v>
      </c>
      <c r="AH42" s="8">
        <v>1</v>
      </c>
      <c r="AI42" s="8">
        <v>1</v>
      </c>
      <c r="AJ42" s="33">
        <f>(0.9*H10)-5</f>
        <v>-5</v>
      </c>
      <c r="AK42" s="5" t="s">
        <v>3</v>
      </c>
      <c r="AL42" s="34">
        <f>(0.9*H10)+5</f>
        <v>5</v>
      </c>
      <c r="AM42" s="8">
        <v>8</v>
      </c>
      <c r="AN42" s="8" t="s">
        <v>40</v>
      </c>
      <c r="AO42" s="8"/>
      <c r="AP42" s="185"/>
      <c r="AQ42" s="237"/>
      <c r="AR42" s="238"/>
      <c r="AS42" s="238"/>
      <c r="AT42" s="239"/>
      <c r="AV42" s="151" t="s">
        <v>99</v>
      </c>
      <c r="AW42" s="8">
        <v>4</v>
      </c>
      <c r="AX42" s="8">
        <v>5</v>
      </c>
      <c r="AY42" s="33">
        <f>(0.78*D13)-5</f>
        <v>-5</v>
      </c>
      <c r="AZ42" s="5" t="s">
        <v>3</v>
      </c>
      <c r="BA42" s="34">
        <f>(0.78*D13)+5</f>
        <v>5</v>
      </c>
      <c r="BB42" s="8">
        <v>8</v>
      </c>
      <c r="BC42" s="8" t="s">
        <v>61</v>
      </c>
      <c r="BD42" s="8"/>
      <c r="BE42" s="185"/>
      <c r="BF42" s="237"/>
      <c r="BG42" s="238"/>
      <c r="BH42" s="238"/>
      <c r="BI42" s="239"/>
      <c r="BJ42" s="28"/>
      <c r="BK42" s="193" t="s">
        <v>97</v>
      </c>
      <c r="BL42" s="8">
        <v>1</v>
      </c>
      <c r="BM42" s="8">
        <v>1</v>
      </c>
      <c r="BN42" s="33">
        <f>(0.91*F10)-5</f>
        <v>-5</v>
      </c>
      <c r="BO42" s="5" t="s">
        <v>3</v>
      </c>
      <c r="BP42" s="34">
        <f>(0.91*F10)+5</f>
        <v>5</v>
      </c>
      <c r="BQ42" s="8">
        <v>8</v>
      </c>
      <c r="BR42" s="8" t="s">
        <v>62</v>
      </c>
      <c r="BS42" s="8"/>
      <c r="BT42" s="185"/>
      <c r="BU42" s="237"/>
      <c r="BV42" s="238"/>
      <c r="BW42" s="238"/>
      <c r="BX42" s="239"/>
    </row>
    <row r="43" spans="3:76" ht="15.6" x14ac:dyDescent="0.3">
      <c r="C43" s="151" t="s">
        <v>95</v>
      </c>
      <c r="D43" s="8">
        <v>5</v>
      </c>
      <c r="E43" s="8">
        <v>4</v>
      </c>
      <c r="F43" s="33">
        <f>(0.8*D10)-5</f>
        <v>-5</v>
      </c>
      <c r="G43" s="5" t="s">
        <v>3</v>
      </c>
      <c r="H43" s="34">
        <f>(0.8*D10)+5</f>
        <v>5</v>
      </c>
      <c r="I43" s="8">
        <v>8</v>
      </c>
      <c r="J43" s="8" t="s">
        <v>61</v>
      </c>
      <c r="K43" s="8"/>
      <c r="L43" s="185"/>
      <c r="M43" s="135"/>
      <c r="N43" s="136"/>
      <c r="O43" s="136"/>
      <c r="P43" s="137"/>
      <c r="R43" s="151"/>
      <c r="S43" s="8"/>
      <c r="T43" s="8"/>
      <c r="U43" s="36"/>
      <c r="V43" s="5" t="s">
        <v>3</v>
      </c>
      <c r="W43" s="34"/>
      <c r="X43" s="8"/>
      <c r="Y43" s="8"/>
      <c r="Z43" s="8"/>
      <c r="AA43" s="185"/>
      <c r="AB43" s="135"/>
      <c r="AC43" s="136"/>
      <c r="AD43" s="136"/>
      <c r="AE43" s="137"/>
      <c r="AG43" s="151" t="s">
        <v>98</v>
      </c>
      <c r="AH43" s="8">
        <v>5</v>
      </c>
      <c r="AI43" s="8">
        <v>4</v>
      </c>
      <c r="AJ43" s="33">
        <f>(0.8*H10)-5</f>
        <v>-5</v>
      </c>
      <c r="AK43" s="5"/>
      <c r="AL43" s="34">
        <f>(0.8*H10)+5</f>
        <v>5</v>
      </c>
      <c r="AM43" s="8">
        <v>8</v>
      </c>
      <c r="AN43" s="8" t="s">
        <v>40</v>
      </c>
      <c r="AO43" s="8"/>
      <c r="AP43" s="185"/>
      <c r="AQ43" s="135"/>
      <c r="AR43" s="136"/>
      <c r="AS43" s="136"/>
      <c r="AT43" s="137"/>
      <c r="AV43" s="151"/>
      <c r="AW43" s="8"/>
      <c r="AX43" s="8"/>
      <c r="AY43" s="33"/>
      <c r="AZ43" s="5" t="s">
        <v>3</v>
      </c>
      <c r="BA43" s="34"/>
      <c r="BB43" s="8"/>
      <c r="BC43" s="8"/>
      <c r="BD43" s="8"/>
      <c r="BE43" s="185"/>
      <c r="BF43" s="135"/>
      <c r="BG43" s="136"/>
      <c r="BH43" s="136"/>
      <c r="BI43" s="137"/>
      <c r="BJ43" s="28"/>
      <c r="BK43" s="193" t="s">
        <v>97</v>
      </c>
      <c r="BL43" s="8">
        <v>5</v>
      </c>
      <c r="BM43" s="8">
        <v>4</v>
      </c>
      <c r="BN43" s="33">
        <f>(0.8*F10)-5</f>
        <v>-5</v>
      </c>
      <c r="BO43" s="5" t="s">
        <v>3</v>
      </c>
      <c r="BP43" s="34">
        <f>(0.8*F10)+5</f>
        <v>5</v>
      </c>
      <c r="BQ43" s="8">
        <v>8</v>
      </c>
      <c r="BR43" s="8" t="s">
        <v>62</v>
      </c>
      <c r="BS43" s="8"/>
      <c r="BT43" s="185"/>
      <c r="BU43" s="13"/>
      <c r="BV43" s="14"/>
      <c r="BW43" s="14"/>
      <c r="BX43" s="15"/>
    </row>
    <row r="44" spans="3:76" ht="15.6" x14ac:dyDescent="0.3">
      <c r="C44" s="9" t="str">
        <f>C20</f>
        <v>Unterkörperübung, unilateral</v>
      </c>
      <c r="D44" s="10">
        <v>3</v>
      </c>
      <c r="E44" s="10">
        <v>8</v>
      </c>
      <c r="F44" s="48"/>
      <c r="G44" s="4" t="s">
        <v>3</v>
      </c>
      <c r="H44" s="39"/>
      <c r="I44" s="32" t="s">
        <v>34</v>
      </c>
      <c r="J44" s="10"/>
      <c r="K44" s="10"/>
      <c r="L44" s="186"/>
      <c r="M44" s="230"/>
      <c r="N44" s="231"/>
      <c r="O44" s="231"/>
      <c r="P44" s="232"/>
      <c r="R44" s="9" t="str">
        <f>R20</f>
        <v>Latzug</v>
      </c>
      <c r="S44" s="10">
        <v>3</v>
      </c>
      <c r="T44" s="32" t="s">
        <v>35</v>
      </c>
      <c r="U44" s="37"/>
      <c r="V44" s="4" t="s">
        <v>3</v>
      </c>
      <c r="W44" s="39"/>
      <c r="X44" s="32" t="s">
        <v>34</v>
      </c>
      <c r="Y44" s="10"/>
      <c r="Z44" s="10"/>
      <c r="AA44" s="186"/>
      <c r="AB44" s="230"/>
      <c r="AC44" s="231"/>
      <c r="AD44" s="231"/>
      <c r="AE44" s="232"/>
      <c r="AG44" s="9" t="str">
        <f>AG20</f>
        <v>Bankdrücken - Variation</v>
      </c>
      <c r="AH44" s="10">
        <v>2</v>
      </c>
      <c r="AI44" s="10">
        <v>3</v>
      </c>
      <c r="AJ44" s="48">
        <f>IF(AG20="3ct. WK-Bankdrücken",(F11*0.8)-5,(F12*0.8)-5)</f>
        <v>-5</v>
      </c>
      <c r="AK44" s="4" t="s">
        <v>3</v>
      </c>
      <c r="AL44" s="39">
        <f>IF(AG20="3ct. WK-Bankdrücken",(F11*0.8)+5,(F12*0.8)+5)</f>
        <v>5</v>
      </c>
      <c r="AM44" s="10">
        <v>7</v>
      </c>
      <c r="AN44" s="10" t="s">
        <v>62</v>
      </c>
      <c r="AO44" s="10"/>
      <c r="AP44" s="186"/>
      <c r="AQ44" s="230"/>
      <c r="AR44" s="231"/>
      <c r="AS44" s="231"/>
      <c r="AT44" s="232"/>
      <c r="AV44" s="9" t="str">
        <f>AV20</f>
        <v>Kreuzheben - Variation</v>
      </c>
      <c r="AW44" s="10">
        <v>3</v>
      </c>
      <c r="AX44" s="10">
        <v>5</v>
      </c>
      <c r="AY44" s="48">
        <f>IF(AV20="1ct. WK-Kreuzheben",((0.78*H12)-5),((0.78*H11)-5))</f>
        <v>-5</v>
      </c>
      <c r="AZ44" s="4" t="s">
        <v>3</v>
      </c>
      <c r="BA44" s="39">
        <f>IF(AV20="1ct. WK-Kreuzheben",((0.78*H12)+5),((0.78*H11)+5))</f>
        <v>5</v>
      </c>
      <c r="BB44" s="10">
        <v>8</v>
      </c>
      <c r="BC44" s="10" t="s">
        <v>40</v>
      </c>
      <c r="BD44" s="10"/>
      <c r="BE44" s="186"/>
      <c r="BF44" s="230"/>
      <c r="BG44" s="231"/>
      <c r="BH44" s="231"/>
      <c r="BI44" s="232"/>
      <c r="BJ44" s="28"/>
      <c r="BK44" s="194" t="s">
        <v>100</v>
      </c>
      <c r="BL44" s="10">
        <v>2</v>
      </c>
      <c r="BM44" s="10">
        <v>6</v>
      </c>
      <c r="BN44" s="48">
        <f>(0.74*F13)-5</f>
        <v>-5</v>
      </c>
      <c r="BO44" s="4" t="s">
        <v>3</v>
      </c>
      <c r="BP44" s="39">
        <f>(0.74*F13)+5</f>
        <v>5</v>
      </c>
      <c r="BQ44" s="10">
        <v>7</v>
      </c>
      <c r="BR44" s="10" t="s">
        <v>62</v>
      </c>
      <c r="BS44" s="10"/>
      <c r="BT44" s="186"/>
      <c r="BU44" s="230"/>
      <c r="BV44" s="231"/>
      <c r="BW44" s="231"/>
      <c r="BX44" s="232"/>
    </row>
    <row r="45" spans="3:76" ht="15.6" x14ac:dyDescent="0.3">
      <c r="C45" s="151" t="str">
        <f t="shared" ref="C45:C47" si="1">C21</f>
        <v>Rudern</v>
      </c>
      <c r="D45" s="8">
        <v>3</v>
      </c>
      <c r="E45" s="31" t="s">
        <v>41</v>
      </c>
      <c r="F45" s="33"/>
      <c r="G45" s="5" t="s">
        <v>3</v>
      </c>
      <c r="H45" s="34"/>
      <c r="I45" s="35" t="s">
        <v>34</v>
      </c>
      <c r="J45" s="8"/>
      <c r="K45" s="8"/>
      <c r="L45" s="185"/>
      <c r="M45" s="226"/>
      <c r="N45" s="227"/>
      <c r="O45" s="227"/>
      <c r="P45" s="228"/>
      <c r="R45" s="151" t="str">
        <f>R21</f>
        <v>Oberkörper Drückbewegung</v>
      </c>
      <c r="S45" s="8">
        <v>3</v>
      </c>
      <c r="T45" s="8">
        <f>IF(OR(R45="Dips",C46="LH Schulterdrücken"),5,6)</f>
        <v>6</v>
      </c>
      <c r="U45" s="36"/>
      <c r="V45" s="5" t="s">
        <v>3</v>
      </c>
      <c r="W45" s="34"/>
      <c r="X45" s="8">
        <v>8</v>
      </c>
      <c r="Y45" s="8"/>
      <c r="Z45" s="8"/>
      <c r="AA45" s="185"/>
      <c r="AB45" s="226"/>
      <c r="AC45" s="227"/>
      <c r="AD45" s="227"/>
      <c r="AE45" s="228"/>
      <c r="AG45" s="88" t="str">
        <f>AG21</f>
        <v>Kniebeuge - Variation</v>
      </c>
      <c r="AH45" s="83">
        <v>3</v>
      </c>
      <c r="AI45" s="83">
        <v>3</v>
      </c>
      <c r="AJ45" s="84">
        <f>IF(AG21="2ct. WK-Kniebeuge",(D11*0.8)-5,(D12*0.8)-5)</f>
        <v>-5</v>
      </c>
      <c r="AK45" s="85" t="s">
        <v>3</v>
      </c>
      <c r="AL45" s="86">
        <f>IF(AG21="2ct. WK-Kniebeuge",(D11*0.8)+5,(D12*0.8)+5)</f>
        <v>5</v>
      </c>
      <c r="AM45" s="83">
        <v>7</v>
      </c>
      <c r="AN45" s="83" t="s">
        <v>61</v>
      </c>
      <c r="AO45" s="83"/>
      <c r="AP45" s="185"/>
      <c r="AQ45" s="246"/>
      <c r="AR45" s="247"/>
      <c r="AS45" s="247"/>
      <c r="AT45" s="248"/>
      <c r="AV45" s="151" t="str">
        <f>AV21</f>
        <v>Latzug</v>
      </c>
      <c r="AW45" s="8">
        <v>3</v>
      </c>
      <c r="AX45" s="35" t="s">
        <v>41</v>
      </c>
      <c r="AY45" s="33"/>
      <c r="AZ45" s="5" t="s">
        <v>3</v>
      </c>
      <c r="BA45" s="34"/>
      <c r="BB45" s="35" t="s">
        <v>34</v>
      </c>
      <c r="BC45" s="8"/>
      <c r="BD45" s="8"/>
      <c r="BE45" s="185"/>
      <c r="BF45" s="226"/>
      <c r="BG45" s="227"/>
      <c r="BH45" s="227"/>
      <c r="BI45" s="228"/>
      <c r="BJ45" s="28"/>
      <c r="BK45" s="151" t="str">
        <f>BK21</f>
        <v>Oberkörper Drückbewegung</v>
      </c>
      <c r="BL45" s="8">
        <v>2</v>
      </c>
      <c r="BM45" s="8" t="str">
        <f>IF(OR(BK45="Dips",BK45="Military Press"),"6-8","8-10")</f>
        <v>8-10</v>
      </c>
      <c r="BN45" s="33"/>
      <c r="BO45" s="5" t="s">
        <v>3</v>
      </c>
      <c r="BP45" s="34"/>
      <c r="BQ45" s="35" t="s">
        <v>34</v>
      </c>
      <c r="BR45" s="8"/>
      <c r="BS45" s="8"/>
      <c r="BT45" s="185"/>
      <c r="BU45" s="226"/>
      <c r="BV45" s="227"/>
      <c r="BW45" s="227"/>
      <c r="BX45" s="228"/>
    </row>
    <row r="46" spans="3:76" ht="15.6" x14ac:dyDescent="0.3">
      <c r="C46" s="9" t="str">
        <f t="shared" si="1"/>
        <v>Beinbeuger</v>
      </c>
      <c r="D46" s="10">
        <v>3</v>
      </c>
      <c r="E46" s="32" t="s">
        <v>41</v>
      </c>
      <c r="F46" s="48"/>
      <c r="G46" s="4" t="s">
        <v>3</v>
      </c>
      <c r="H46" s="39"/>
      <c r="I46" s="32" t="s">
        <v>34</v>
      </c>
      <c r="J46" s="10"/>
      <c r="K46" s="10"/>
      <c r="L46" s="186"/>
      <c r="M46" s="230"/>
      <c r="N46" s="231"/>
      <c r="O46" s="231"/>
      <c r="P46" s="232"/>
      <c r="R46" s="9" t="str">
        <f>R22</f>
        <v>Hintere Schulter</v>
      </c>
      <c r="S46" s="10">
        <v>4</v>
      </c>
      <c r="T46" s="32" t="s">
        <v>28</v>
      </c>
      <c r="U46" s="37"/>
      <c r="V46" s="4" t="s">
        <v>3</v>
      </c>
      <c r="W46" s="39"/>
      <c r="X46" s="32" t="s">
        <v>34</v>
      </c>
      <c r="Y46" s="10"/>
      <c r="Z46" s="10"/>
      <c r="AA46" s="186"/>
      <c r="AB46" s="230"/>
      <c r="AC46" s="231"/>
      <c r="AD46" s="231"/>
      <c r="AE46" s="232"/>
      <c r="AG46" s="9" t="s">
        <v>21</v>
      </c>
      <c r="AH46" s="32" t="s">
        <v>39</v>
      </c>
      <c r="AI46" s="32" t="s">
        <v>38</v>
      </c>
      <c r="AJ46" s="48"/>
      <c r="AK46" s="4" t="s">
        <v>3</v>
      </c>
      <c r="AL46" s="39"/>
      <c r="AM46" s="32" t="s">
        <v>34</v>
      </c>
      <c r="AN46" s="10"/>
      <c r="AO46" s="10"/>
      <c r="AP46" s="186"/>
      <c r="AQ46" s="230"/>
      <c r="AR46" s="231"/>
      <c r="AS46" s="231"/>
      <c r="AT46" s="232"/>
      <c r="AV46" s="9" t="s">
        <v>26</v>
      </c>
      <c r="AW46" s="10">
        <v>3</v>
      </c>
      <c r="AX46" s="10">
        <v>6</v>
      </c>
      <c r="AY46" s="48"/>
      <c r="AZ46" s="4" t="s">
        <v>3</v>
      </c>
      <c r="BA46" s="39"/>
      <c r="BB46" s="32" t="s">
        <v>34</v>
      </c>
      <c r="BC46" s="10"/>
      <c r="BD46" s="10"/>
      <c r="BE46" s="186"/>
      <c r="BF46" s="230"/>
      <c r="BG46" s="231"/>
      <c r="BH46" s="231"/>
      <c r="BI46" s="232"/>
      <c r="BJ46" s="28"/>
      <c r="BK46" s="9" t="str">
        <f>BK22</f>
        <v>Rudern</v>
      </c>
      <c r="BL46" s="10">
        <v>3</v>
      </c>
      <c r="BM46" s="10" t="str">
        <f>IF(OR(BK46="Pendlay Rudern"),"5","6-8")</f>
        <v>6-8</v>
      </c>
      <c r="BN46" s="48"/>
      <c r="BO46" s="4" t="s">
        <v>3</v>
      </c>
      <c r="BP46" s="39"/>
      <c r="BQ46" s="10">
        <v>8</v>
      </c>
      <c r="BR46" s="10"/>
      <c r="BS46" s="10"/>
      <c r="BT46" s="186"/>
      <c r="BU46" s="230"/>
      <c r="BV46" s="231"/>
      <c r="BW46" s="231"/>
      <c r="BX46" s="232"/>
    </row>
    <row r="47" spans="3:76" ht="15.6" x14ac:dyDescent="0.3">
      <c r="C47" s="151" t="str">
        <f t="shared" si="1"/>
        <v>Optional: Unterarmstütz/Ab Roll</v>
      </c>
      <c r="D47" s="8">
        <v>3</v>
      </c>
      <c r="E47" s="8"/>
      <c r="F47" s="33"/>
      <c r="G47" s="5" t="s">
        <v>3</v>
      </c>
      <c r="H47" s="34"/>
      <c r="I47" s="8"/>
      <c r="J47" s="8"/>
      <c r="K47" s="8"/>
      <c r="L47" s="185"/>
      <c r="M47" s="226"/>
      <c r="N47" s="227"/>
      <c r="O47" s="227"/>
      <c r="P47" s="228"/>
      <c r="R47" s="151"/>
      <c r="S47" s="8"/>
      <c r="T47" s="8"/>
      <c r="U47" s="36"/>
      <c r="V47" s="5" t="s">
        <v>3</v>
      </c>
      <c r="W47" s="34"/>
      <c r="X47" s="8"/>
      <c r="Y47" s="8"/>
      <c r="Z47" s="8"/>
      <c r="AA47" s="185"/>
      <c r="AB47" s="226"/>
      <c r="AC47" s="227"/>
      <c r="AD47" s="227"/>
      <c r="AE47" s="228"/>
      <c r="AG47" s="151" t="s">
        <v>22</v>
      </c>
      <c r="AH47" s="35" t="s">
        <v>39</v>
      </c>
      <c r="AI47" s="35" t="s">
        <v>38</v>
      </c>
      <c r="AJ47" s="33"/>
      <c r="AK47" s="5" t="s">
        <v>3</v>
      </c>
      <c r="AL47" s="34"/>
      <c r="AM47" s="35" t="s">
        <v>34</v>
      </c>
      <c r="AN47" s="8"/>
      <c r="AO47" s="8"/>
      <c r="AP47" s="185"/>
      <c r="AQ47" s="226"/>
      <c r="AR47" s="227"/>
      <c r="AS47" s="227"/>
      <c r="AT47" s="228"/>
      <c r="AV47" s="151" t="s">
        <v>96</v>
      </c>
      <c r="AW47" s="8">
        <v>3</v>
      </c>
      <c r="AX47" s="8"/>
      <c r="AY47" s="33"/>
      <c r="AZ47" s="5" t="s">
        <v>3</v>
      </c>
      <c r="BA47" s="34"/>
      <c r="BB47" s="8"/>
      <c r="BC47" s="8"/>
      <c r="BD47" s="8"/>
      <c r="BE47" s="185"/>
      <c r="BF47" s="226"/>
      <c r="BG47" s="227"/>
      <c r="BH47" s="227"/>
      <c r="BI47" s="228"/>
      <c r="BJ47" s="28"/>
      <c r="BK47" s="151" t="str">
        <f>BK23</f>
        <v>Hintere Schulter</v>
      </c>
      <c r="BL47" s="8">
        <v>3</v>
      </c>
      <c r="BM47" s="35" t="s">
        <v>41</v>
      </c>
      <c r="BN47" s="33"/>
      <c r="BO47" s="5" t="s">
        <v>3</v>
      </c>
      <c r="BP47" s="34"/>
      <c r="BQ47" s="35" t="s">
        <v>34</v>
      </c>
      <c r="BR47" s="8"/>
      <c r="BS47" s="8"/>
      <c r="BT47" s="185"/>
      <c r="BU47" s="226"/>
      <c r="BV47" s="227"/>
      <c r="BW47" s="227"/>
      <c r="BX47" s="228"/>
    </row>
    <row r="48" spans="3:76" ht="15.6" x14ac:dyDescent="0.3">
      <c r="C48" s="9"/>
      <c r="D48" s="10"/>
      <c r="E48" s="10"/>
      <c r="F48" s="48"/>
      <c r="G48" s="4" t="s">
        <v>3</v>
      </c>
      <c r="H48" s="39"/>
      <c r="I48" s="10"/>
      <c r="J48" s="10"/>
      <c r="K48" s="10"/>
      <c r="L48" s="186"/>
      <c r="M48" s="230"/>
      <c r="N48" s="231"/>
      <c r="O48" s="231"/>
      <c r="P48" s="232"/>
      <c r="R48" s="9"/>
      <c r="S48" s="10"/>
      <c r="T48" s="10"/>
      <c r="U48" s="37"/>
      <c r="V48" s="4" t="s">
        <v>3</v>
      </c>
      <c r="W48" s="39"/>
      <c r="X48" s="10"/>
      <c r="Y48" s="10"/>
      <c r="Z48" s="10"/>
      <c r="AA48" s="186"/>
      <c r="AB48" s="230"/>
      <c r="AC48" s="231"/>
      <c r="AD48" s="231"/>
      <c r="AE48" s="232"/>
      <c r="AG48" s="9"/>
      <c r="AH48" s="10"/>
      <c r="AI48" s="10"/>
      <c r="AJ48" s="48"/>
      <c r="AK48" s="4" t="s">
        <v>3</v>
      </c>
      <c r="AL48" s="39"/>
      <c r="AM48" s="10"/>
      <c r="AN48" s="10"/>
      <c r="AO48" s="10"/>
      <c r="AP48" s="186"/>
      <c r="AQ48" s="230"/>
      <c r="AR48" s="231"/>
      <c r="AS48" s="231"/>
      <c r="AT48" s="232"/>
      <c r="AV48" s="9"/>
      <c r="AW48" s="10"/>
      <c r="AX48" s="10"/>
      <c r="AY48" s="48"/>
      <c r="AZ48" s="4" t="s">
        <v>3</v>
      </c>
      <c r="BA48" s="39"/>
      <c r="BB48" s="10"/>
      <c r="BC48" s="10"/>
      <c r="BD48" s="10"/>
      <c r="BE48" s="186"/>
      <c r="BF48" s="230"/>
      <c r="BG48" s="231"/>
      <c r="BH48" s="231"/>
      <c r="BI48" s="232"/>
      <c r="BJ48" s="28"/>
      <c r="BK48" s="9"/>
      <c r="BL48" s="10"/>
      <c r="BM48" s="10"/>
      <c r="BN48" s="48"/>
      <c r="BO48" s="4" t="s">
        <v>3</v>
      </c>
      <c r="BP48" s="39"/>
      <c r="BQ48" s="10"/>
      <c r="BR48" s="10"/>
      <c r="BS48" s="10"/>
      <c r="BT48" s="186"/>
      <c r="BU48" s="230"/>
      <c r="BV48" s="231"/>
      <c r="BW48" s="231"/>
      <c r="BX48" s="232"/>
    </row>
    <row r="49" spans="3:76" ht="16.2" thickBot="1" x14ac:dyDescent="0.35">
      <c r="C49" s="11"/>
      <c r="D49" s="12"/>
      <c r="E49" s="12"/>
      <c r="F49" s="49"/>
      <c r="G49" s="6" t="s">
        <v>3</v>
      </c>
      <c r="H49" s="40"/>
      <c r="I49" s="12"/>
      <c r="J49" s="12"/>
      <c r="K49" s="12"/>
      <c r="L49" s="187"/>
      <c r="M49" s="220"/>
      <c r="N49" s="221"/>
      <c r="O49" s="221"/>
      <c r="P49" s="222"/>
      <c r="R49" s="11"/>
      <c r="S49" s="12"/>
      <c r="T49" s="12"/>
      <c r="U49" s="38"/>
      <c r="V49" s="6" t="s">
        <v>3</v>
      </c>
      <c r="W49" s="40"/>
      <c r="X49" s="12"/>
      <c r="Y49" s="12"/>
      <c r="Z49" s="12"/>
      <c r="AA49" s="187"/>
      <c r="AB49" s="220"/>
      <c r="AC49" s="221"/>
      <c r="AD49" s="221"/>
      <c r="AE49" s="222"/>
      <c r="AG49" s="11"/>
      <c r="AH49" s="12"/>
      <c r="AI49" s="12"/>
      <c r="AJ49" s="49"/>
      <c r="AK49" s="6" t="s">
        <v>3</v>
      </c>
      <c r="AL49" s="40"/>
      <c r="AM49" s="12"/>
      <c r="AN49" s="12"/>
      <c r="AO49" s="12"/>
      <c r="AP49" s="187"/>
      <c r="AQ49" s="220"/>
      <c r="AR49" s="221"/>
      <c r="AS49" s="221"/>
      <c r="AT49" s="222"/>
      <c r="AV49" s="11"/>
      <c r="AW49" s="12"/>
      <c r="AX49" s="12"/>
      <c r="AY49" s="49"/>
      <c r="AZ49" s="6" t="s">
        <v>3</v>
      </c>
      <c r="BA49" s="40"/>
      <c r="BB49" s="12"/>
      <c r="BC49" s="12"/>
      <c r="BD49" s="12"/>
      <c r="BE49" s="187"/>
      <c r="BF49" s="220"/>
      <c r="BG49" s="221"/>
      <c r="BH49" s="221"/>
      <c r="BI49" s="222"/>
      <c r="BJ49" s="28"/>
      <c r="BK49" s="11"/>
      <c r="BL49" s="12"/>
      <c r="BM49" s="12"/>
      <c r="BN49" s="49"/>
      <c r="BO49" s="6" t="s">
        <v>3</v>
      </c>
      <c r="BP49" s="40"/>
      <c r="BQ49" s="12"/>
      <c r="BR49" s="12"/>
      <c r="BS49" s="12"/>
      <c r="BT49" s="187"/>
      <c r="BU49" s="220"/>
      <c r="BV49" s="221"/>
      <c r="BW49" s="221"/>
      <c r="BX49" s="222"/>
    </row>
    <row r="51" spans="3:76" ht="15" thickBot="1" x14ac:dyDescent="0.35">
      <c r="C51" s="127"/>
      <c r="D51" s="127"/>
      <c r="E51" s="127"/>
      <c r="G51" s="127"/>
      <c r="I51" s="127"/>
      <c r="J51" s="127"/>
      <c r="K51" s="127"/>
      <c r="M51" s="127"/>
      <c r="N51" s="127"/>
      <c r="O51" s="127"/>
      <c r="P51" s="127"/>
    </row>
    <row r="52" spans="3:76" ht="24" thickBot="1" x14ac:dyDescent="0.35">
      <c r="C52" s="131" t="s">
        <v>12</v>
      </c>
      <c r="D52" s="1"/>
      <c r="E52" s="1"/>
      <c r="F52" s="47"/>
      <c r="G52" s="1"/>
      <c r="H52" s="50"/>
      <c r="I52" s="165" t="s">
        <v>5</v>
      </c>
      <c r="J52" s="78">
        <f>(((K54*(E54+(10-L54))*0.029))+K54)</f>
        <v>0</v>
      </c>
      <c r="K52" s="1"/>
      <c r="M52" s="1"/>
      <c r="N52" s="1"/>
      <c r="O52" s="1"/>
      <c r="P52" s="1"/>
      <c r="AM52" s="165" t="s">
        <v>5</v>
      </c>
      <c r="AN52" s="78">
        <f>(((AO54*(AI54+(10-AP54))*0.029))+AO54)</f>
        <v>0</v>
      </c>
      <c r="BQ52" s="165" t="s">
        <v>5</v>
      </c>
      <c r="BR52" s="78">
        <f>(((BS54*(BM54+(10-BT54))*0.029))+BS54)</f>
        <v>0</v>
      </c>
    </row>
    <row r="53" spans="3:76" ht="18.600000000000001" thickBot="1" x14ac:dyDescent="0.4">
      <c r="C53" s="130" t="s">
        <v>118</v>
      </c>
      <c r="D53" s="219" t="s">
        <v>136</v>
      </c>
      <c r="E53" s="219" t="s">
        <v>56</v>
      </c>
      <c r="F53" s="235" t="s">
        <v>29</v>
      </c>
      <c r="G53" s="235"/>
      <c r="H53" s="241"/>
      <c r="I53" s="219" t="s">
        <v>7</v>
      </c>
      <c r="J53" s="219" t="s">
        <v>137</v>
      </c>
      <c r="K53" s="219" t="s">
        <v>10</v>
      </c>
      <c r="L53" s="218" t="s">
        <v>66</v>
      </c>
      <c r="M53" s="234" t="s">
        <v>9</v>
      </c>
      <c r="N53" s="235"/>
      <c r="O53" s="235"/>
      <c r="P53" s="236"/>
      <c r="R53" s="130" t="s">
        <v>122</v>
      </c>
      <c r="S53" s="219" t="s">
        <v>136</v>
      </c>
      <c r="T53" s="219" t="s">
        <v>56</v>
      </c>
      <c r="U53" s="235" t="s">
        <v>29</v>
      </c>
      <c r="V53" s="235"/>
      <c r="W53" s="241"/>
      <c r="X53" s="219" t="s">
        <v>7</v>
      </c>
      <c r="Y53" s="219" t="s">
        <v>137</v>
      </c>
      <c r="Z53" s="219" t="s">
        <v>10</v>
      </c>
      <c r="AA53" s="218" t="s">
        <v>66</v>
      </c>
      <c r="AB53" s="234" t="s">
        <v>9</v>
      </c>
      <c r="AC53" s="235"/>
      <c r="AD53" s="235"/>
      <c r="AE53" s="236"/>
      <c r="AG53" s="130" t="s">
        <v>126</v>
      </c>
      <c r="AH53" s="219" t="s">
        <v>136</v>
      </c>
      <c r="AI53" s="219" t="s">
        <v>56</v>
      </c>
      <c r="AJ53" s="235" t="s">
        <v>29</v>
      </c>
      <c r="AK53" s="235"/>
      <c r="AL53" s="241"/>
      <c r="AM53" s="219" t="s">
        <v>7</v>
      </c>
      <c r="AN53" s="219" t="s">
        <v>137</v>
      </c>
      <c r="AO53" s="219" t="s">
        <v>10</v>
      </c>
      <c r="AP53" s="218" t="s">
        <v>66</v>
      </c>
      <c r="AQ53" s="234" t="s">
        <v>9</v>
      </c>
      <c r="AR53" s="235"/>
      <c r="AS53" s="235"/>
      <c r="AT53" s="236"/>
      <c r="AV53" s="130" t="s">
        <v>130</v>
      </c>
      <c r="AW53" s="219" t="s">
        <v>136</v>
      </c>
      <c r="AX53" s="219" t="s">
        <v>56</v>
      </c>
      <c r="AY53" s="235" t="s">
        <v>29</v>
      </c>
      <c r="AZ53" s="235"/>
      <c r="BA53" s="241"/>
      <c r="BB53" s="219" t="s">
        <v>7</v>
      </c>
      <c r="BC53" s="219" t="s">
        <v>137</v>
      </c>
      <c r="BD53" s="219" t="s">
        <v>10</v>
      </c>
      <c r="BE53" s="218" t="s">
        <v>66</v>
      </c>
      <c r="BF53" s="234" t="s">
        <v>9</v>
      </c>
      <c r="BG53" s="235"/>
      <c r="BH53" s="235"/>
      <c r="BI53" s="236"/>
      <c r="BJ53" s="29"/>
      <c r="BK53" s="190" t="s">
        <v>134</v>
      </c>
      <c r="BL53" s="219" t="s">
        <v>136</v>
      </c>
      <c r="BM53" s="219" t="s">
        <v>56</v>
      </c>
      <c r="BN53" s="235" t="s">
        <v>29</v>
      </c>
      <c r="BO53" s="235"/>
      <c r="BP53" s="241"/>
      <c r="BQ53" s="219" t="s">
        <v>7</v>
      </c>
      <c r="BR53" s="219" t="s">
        <v>137</v>
      </c>
      <c r="BS53" s="219" t="s">
        <v>10</v>
      </c>
      <c r="BT53" s="218" t="s">
        <v>66</v>
      </c>
      <c r="BU53" s="234" t="s">
        <v>9</v>
      </c>
      <c r="BV53" s="235"/>
      <c r="BW53" s="235"/>
      <c r="BX53" s="236"/>
    </row>
    <row r="54" spans="3:76" ht="15.6" x14ac:dyDescent="0.3">
      <c r="C54" s="151" t="str">
        <f>C18</f>
        <v>WK-Kniebeuge</v>
      </c>
      <c r="D54" s="8">
        <v>1</v>
      </c>
      <c r="E54" s="8">
        <v>4</v>
      </c>
      <c r="F54" s="33">
        <f>(0.87*D10)-5</f>
        <v>-5</v>
      </c>
      <c r="G54" s="5" t="s">
        <v>3</v>
      </c>
      <c r="H54" s="34">
        <f>(0.87*D10)+5</f>
        <v>5</v>
      </c>
      <c r="I54" s="8">
        <v>9</v>
      </c>
      <c r="J54" s="8" t="s">
        <v>61</v>
      </c>
      <c r="K54" s="8"/>
      <c r="L54" s="185"/>
      <c r="M54" s="237"/>
      <c r="N54" s="238"/>
      <c r="O54" s="238"/>
      <c r="P54" s="239"/>
      <c r="R54" s="151" t="s">
        <v>97</v>
      </c>
      <c r="S54" s="8">
        <v>3</v>
      </c>
      <c r="T54" s="8">
        <v>6</v>
      </c>
      <c r="U54" s="33">
        <f>(0.77*F10)-5</f>
        <v>-5</v>
      </c>
      <c r="V54" s="5" t="s">
        <v>3</v>
      </c>
      <c r="W54" s="34">
        <f>(0.77*F10)+5</f>
        <v>5</v>
      </c>
      <c r="X54" s="8">
        <v>9</v>
      </c>
      <c r="Y54" s="8" t="s">
        <v>62</v>
      </c>
      <c r="Z54" s="8"/>
      <c r="AA54" s="185"/>
      <c r="AB54" s="237"/>
      <c r="AC54" s="238"/>
      <c r="AD54" s="238"/>
      <c r="AE54" s="239"/>
      <c r="AG54" s="151" t="s">
        <v>98</v>
      </c>
      <c r="AH54" s="8">
        <v>1</v>
      </c>
      <c r="AI54" s="8">
        <v>4</v>
      </c>
      <c r="AJ54" s="33">
        <f>(0.87*H10)-5</f>
        <v>-5</v>
      </c>
      <c r="AK54" s="5" t="s">
        <v>3</v>
      </c>
      <c r="AL54" s="34">
        <f>(0.87*H10)+5</f>
        <v>5</v>
      </c>
      <c r="AM54" s="8">
        <v>9</v>
      </c>
      <c r="AN54" s="8" t="s">
        <v>40</v>
      </c>
      <c r="AO54" s="8"/>
      <c r="AP54" s="185"/>
      <c r="AQ54" s="237"/>
      <c r="AR54" s="238"/>
      <c r="AS54" s="238"/>
      <c r="AT54" s="239"/>
      <c r="AV54" s="151" t="s">
        <v>99</v>
      </c>
      <c r="AW54" s="8">
        <v>1</v>
      </c>
      <c r="AX54" s="8">
        <v>1</v>
      </c>
      <c r="AY54" s="33">
        <f>(0.91*D13)-5</f>
        <v>-5</v>
      </c>
      <c r="AZ54" s="5" t="s">
        <v>3</v>
      </c>
      <c r="BA54" s="34">
        <f>(0.91*D13)+5</f>
        <v>5</v>
      </c>
      <c r="BB54" s="8">
        <v>8</v>
      </c>
      <c r="BC54" s="8" t="s">
        <v>61</v>
      </c>
      <c r="BD54" s="8"/>
      <c r="BE54" s="185"/>
      <c r="BF54" s="237"/>
      <c r="BG54" s="238"/>
      <c r="BH54" s="238"/>
      <c r="BI54" s="239"/>
      <c r="BJ54" s="28"/>
      <c r="BK54" s="193" t="s">
        <v>97</v>
      </c>
      <c r="BL54" s="8">
        <v>1</v>
      </c>
      <c r="BM54" s="8">
        <v>4</v>
      </c>
      <c r="BN54" s="33">
        <f>(0.87*F10)-5</f>
        <v>-5</v>
      </c>
      <c r="BO54" s="5" t="s">
        <v>3</v>
      </c>
      <c r="BP54" s="34">
        <f>(0.87*F10)+5</f>
        <v>5</v>
      </c>
      <c r="BQ54" s="8">
        <v>9</v>
      </c>
      <c r="BR54" s="8" t="s">
        <v>62</v>
      </c>
      <c r="BS54" s="8"/>
      <c r="BT54" s="185"/>
      <c r="BU54" s="237"/>
      <c r="BV54" s="238"/>
      <c r="BW54" s="238"/>
      <c r="BX54" s="239"/>
    </row>
    <row r="55" spans="3:76" ht="15.6" x14ac:dyDescent="0.3">
      <c r="C55" s="43" t="str">
        <f>C18</f>
        <v>WK-Kniebeuge</v>
      </c>
      <c r="D55" s="8">
        <v>3</v>
      </c>
      <c r="E55" s="8">
        <v>4</v>
      </c>
      <c r="F55" s="242" t="s">
        <v>33</v>
      </c>
      <c r="G55" s="243"/>
      <c r="H55" s="244"/>
      <c r="I55" s="35" t="s">
        <v>34</v>
      </c>
      <c r="J55" s="8" t="s">
        <v>61</v>
      </c>
      <c r="K55" s="8"/>
      <c r="L55" s="72"/>
      <c r="M55" s="226"/>
      <c r="N55" s="227"/>
      <c r="O55" s="227"/>
      <c r="P55" s="228"/>
      <c r="R55" s="151"/>
      <c r="S55" s="8"/>
      <c r="T55" s="8"/>
      <c r="U55" s="33"/>
      <c r="V55" s="5" t="s">
        <v>3</v>
      </c>
      <c r="W55" s="34"/>
      <c r="X55" s="8"/>
      <c r="Y55" s="8"/>
      <c r="Z55" s="8"/>
      <c r="AA55" s="72"/>
      <c r="AB55" s="226"/>
      <c r="AC55" s="227"/>
      <c r="AD55" s="227"/>
      <c r="AE55" s="228"/>
      <c r="AG55" s="151" t="s">
        <v>98</v>
      </c>
      <c r="AH55" s="8">
        <v>3</v>
      </c>
      <c r="AI55" s="8">
        <v>4</v>
      </c>
      <c r="AJ55" s="242" t="s">
        <v>33</v>
      </c>
      <c r="AK55" s="243"/>
      <c r="AL55" s="244"/>
      <c r="AM55" s="35" t="s">
        <v>34</v>
      </c>
      <c r="AN55" s="8" t="s">
        <v>40</v>
      </c>
      <c r="AO55" s="8"/>
      <c r="AP55" s="72"/>
      <c r="AQ55" s="226"/>
      <c r="AR55" s="227"/>
      <c r="AS55" s="227"/>
      <c r="AT55" s="228"/>
      <c r="AV55" s="151" t="s">
        <v>99</v>
      </c>
      <c r="AW55" s="8">
        <v>4</v>
      </c>
      <c r="AX55" s="8">
        <v>5</v>
      </c>
      <c r="AY55" s="33">
        <f>(0.81*D13)-5</f>
        <v>-5</v>
      </c>
      <c r="AZ55" s="5" t="s">
        <v>3</v>
      </c>
      <c r="BA55" s="34">
        <f>(0.81*D13)+5</f>
        <v>5</v>
      </c>
      <c r="BB55" s="8">
        <v>9</v>
      </c>
      <c r="BC55" s="8" t="s">
        <v>61</v>
      </c>
      <c r="BD55" s="8"/>
      <c r="BE55" s="72"/>
      <c r="BF55" s="226"/>
      <c r="BG55" s="227"/>
      <c r="BH55" s="227"/>
      <c r="BI55" s="228"/>
      <c r="BK55" s="193" t="s">
        <v>97</v>
      </c>
      <c r="BL55" s="8">
        <v>3</v>
      </c>
      <c r="BM55" s="8">
        <v>4</v>
      </c>
      <c r="BN55" s="242" t="s">
        <v>33</v>
      </c>
      <c r="BO55" s="243"/>
      <c r="BP55" s="244"/>
      <c r="BQ55" s="35" t="s">
        <v>34</v>
      </c>
      <c r="BR55" s="8" t="s">
        <v>62</v>
      </c>
      <c r="BS55" s="72"/>
      <c r="BT55" s="72"/>
      <c r="BU55" s="70"/>
      <c r="BV55" s="70"/>
      <c r="BW55" s="70"/>
      <c r="BX55" s="71"/>
    </row>
    <row r="56" spans="3:76" ht="15.6" x14ac:dyDescent="0.3">
      <c r="C56" s="9" t="str">
        <f>C20</f>
        <v>Unterkörperübung, unilateral</v>
      </c>
      <c r="D56" s="10">
        <v>3</v>
      </c>
      <c r="E56" s="10">
        <v>8</v>
      </c>
      <c r="F56" s="48"/>
      <c r="G56" s="4" t="s">
        <v>3</v>
      </c>
      <c r="H56" s="39"/>
      <c r="I56" s="32" t="s">
        <v>34</v>
      </c>
      <c r="J56" s="10"/>
      <c r="K56" s="10"/>
      <c r="L56" s="186"/>
      <c r="M56" s="230"/>
      <c r="N56" s="231"/>
      <c r="O56" s="231"/>
      <c r="P56" s="232"/>
      <c r="R56" s="9" t="str">
        <f>R20</f>
        <v>Latzug</v>
      </c>
      <c r="S56" s="10">
        <v>3</v>
      </c>
      <c r="T56" s="32" t="s">
        <v>35</v>
      </c>
      <c r="U56" s="149"/>
      <c r="V56" s="4" t="s">
        <v>3</v>
      </c>
      <c r="W56" s="150"/>
      <c r="X56" s="32" t="s">
        <v>34</v>
      </c>
      <c r="Y56" s="10"/>
      <c r="Z56" s="10"/>
      <c r="AA56" s="186"/>
      <c r="AB56" s="230"/>
      <c r="AC56" s="231"/>
      <c r="AD56" s="231"/>
      <c r="AE56" s="232"/>
      <c r="AG56" s="9" t="str">
        <f>AG20</f>
        <v>Bankdrücken - Variation</v>
      </c>
      <c r="AH56" s="10">
        <v>3</v>
      </c>
      <c r="AI56" s="10">
        <v>3</v>
      </c>
      <c r="AJ56" s="48">
        <f>IF(AG20="3ct. WK-Bankdrücken",(F11*0.83)-5,(F12*0.83)-5)</f>
        <v>-5</v>
      </c>
      <c r="AK56" s="4" t="s">
        <v>3</v>
      </c>
      <c r="AL56" s="39">
        <f>IF(AG20="3ct. WK-Bankdrücken",(F11*0.83)+5,(F12*0.83)+5)</f>
        <v>5</v>
      </c>
      <c r="AM56" s="10">
        <v>8</v>
      </c>
      <c r="AN56" s="10" t="s">
        <v>62</v>
      </c>
      <c r="AO56" s="10"/>
      <c r="AP56" s="186"/>
      <c r="AQ56" s="230"/>
      <c r="AR56" s="231"/>
      <c r="AS56" s="231"/>
      <c r="AT56" s="232"/>
      <c r="AV56" s="9" t="str">
        <f>AV32</f>
        <v>Kreuzheben - Variation</v>
      </c>
      <c r="AW56" s="10">
        <v>3</v>
      </c>
      <c r="AX56" s="10">
        <f>IF(AV32="Kreuzheben im Reißgriff",6,8)</f>
        <v>8</v>
      </c>
      <c r="AY56" s="48"/>
      <c r="AZ56" s="4" t="s">
        <v>3</v>
      </c>
      <c r="BA56" s="39"/>
      <c r="BB56" s="10">
        <v>9</v>
      </c>
      <c r="BC56" s="10" t="s">
        <v>58</v>
      </c>
      <c r="BD56" s="10"/>
      <c r="BE56" s="186"/>
      <c r="BF56" s="230"/>
      <c r="BG56" s="231"/>
      <c r="BH56" s="231"/>
      <c r="BI56" s="232"/>
      <c r="BJ56" s="28"/>
      <c r="BK56" s="194" t="s">
        <v>100</v>
      </c>
      <c r="BL56" s="10">
        <v>2</v>
      </c>
      <c r="BM56" s="10">
        <v>6</v>
      </c>
      <c r="BN56" s="48">
        <f>(0.76*F13)-5</f>
        <v>-5</v>
      </c>
      <c r="BO56" s="4" t="s">
        <v>3</v>
      </c>
      <c r="BP56" s="39">
        <f>(0.76*F13)+5</f>
        <v>5</v>
      </c>
      <c r="BQ56" s="10">
        <v>8</v>
      </c>
      <c r="BR56" s="10" t="s">
        <v>62</v>
      </c>
      <c r="BS56" s="10"/>
      <c r="BT56" s="186"/>
      <c r="BU56" s="230"/>
      <c r="BV56" s="231"/>
      <c r="BW56" s="231"/>
      <c r="BX56" s="232"/>
    </row>
    <row r="57" spans="3:76" ht="15.6" x14ac:dyDescent="0.3">
      <c r="C57" s="151" t="str">
        <f>C21</f>
        <v>Rudern</v>
      </c>
      <c r="D57" s="8">
        <v>3</v>
      </c>
      <c r="E57" s="31" t="s">
        <v>41</v>
      </c>
      <c r="F57" s="33"/>
      <c r="G57" s="5" t="s">
        <v>3</v>
      </c>
      <c r="H57" s="34"/>
      <c r="I57" s="35" t="s">
        <v>34</v>
      </c>
      <c r="J57" s="8"/>
      <c r="K57" s="8"/>
      <c r="L57" s="185"/>
      <c r="M57" s="135"/>
      <c r="N57" s="136"/>
      <c r="O57" s="136"/>
      <c r="P57" s="137"/>
      <c r="R57" s="151" t="str">
        <f>R21</f>
        <v>Oberkörper Drückbewegung</v>
      </c>
      <c r="S57" s="8">
        <v>3</v>
      </c>
      <c r="T57" s="8">
        <f>IF(OR(R57="Dips",C58="LH Schulterdrücken"),5,6)</f>
        <v>6</v>
      </c>
      <c r="U57" s="147"/>
      <c r="V57" s="5" t="s">
        <v>3</v>
      </c>
      <c r="W57" s="148"/>
      <c r="X57" s="8">
        <v>9</v>
      </c>
      <c r="Y57" s="8"/>
      <c r="Z57" s="8"/>
      <c r="AA57" s="185"/>
      <c r="AB57" s="135"/>
      <c r="AC57" s="136"/>
      <c r="AD57" s="136"/>
      <c r="AE57" s="137"/>
      <c r="AG57" s="88" t="str">
        <f>AG21</f>
        <v>Kniebeuge - Variation</v>
      </c>
      <c r="AH57" s="83">
        <v>3</v>
      </c>
      <c r="AI57" s="83">
        <v>3</v>
      </c>
      <c r="AJ57" s="84">
        <f>IF(AG21="2ct. Competition Squat",(D11*0.83)-5,(D12*0.83)-5)</f>
        <v>-5</v>
      </c>
      <c r="AK57" s="85" t="s">
        <v>3</v>
      </c>
      <c r="AL57" s="86">
        <f>IF(AG21="2ct. Competition Squat",(D11*0.83)+5,(D12*0.83)+5)</f>
        <v>5</v>
      </c>
      <c r="AM57" s="83">
        <v>8</v>
      </c>
      <c r="AN57" s="83" t="s">
        <v>61</v>
      </c>
      <c r="AO57" s="83"/>
      <c r="AP57" s="185"/>
      <c r="AQ57" s="246"/>
      <c r="AR57" s="247"/>
      <c r="AS57" s="247"/>
      <c r="AT57" s="248"/>
      <c r="AV57" s="151" t="str">
        <f>AV21</f>
        <v>Latzug</v>
      </c>
      <c r="AW57" s="8">
        <v>3</v>
      </c>
      <c r="AX57" s="35" t="s">
        <v>41</v>
      </c>
      <c r="AY57" s="33"/>
      <c r="AZ57" s="5" t="s">
        <v>3</v>
      </c>
      <c r="BA57" s="34"/>
      <c r="BB57" s="35" t="s">
        <v>34</v>
      </c>
      <c r="BC57" s="8"/>
      <c r="BD57" s="8"/>
      <c r="BE57" s="185"/>
      <c r="BF57" s="135"/>
      <c r="BG57" s="136"/>
      <c r="BH57" s="136"/>
      <c r="BI57" s="137"/>
      <c r="BJ57" s="28"/>
      <c r="BK57" s="151" t="str">
        <f>BK21</f>
        <v>Oberkörper Drückbewegung</v>
      </c>
      <c r="BL57" s="8">
        <v>2</v>
      </c>
      <c r="BM57" s="8" t="str">
        <f>IF(OR(BK57="Dips",BK57="Military Press"),"6-8","8-10")</f>
        <v>8-10</v>
      </c>
      <c r="BN57" s="33"/>
      <c r="BO57" s="5" t="s">
        <v>3</v>
      </c>
      <c r="BP57" s="34"/>
      <c r="BQ57" s="35" t="s">
        <v>34</v>
      </c>
      <c r="BR57" s="8"/>
      <c r="BS57" s="8"/>
      <c r="BT57" s="185"/>
      <c r="BU57" s="13"/>
      <c r="BV57" s="14"/>
      <c r="BW57" s="14"/>
      <c r="BX57" s="15"/>
    </row>
    <row r="58" spans="3:76" ht="15.6" x14ac:dyDescent="0.3">
      <c r="C58" s="9" t="str">
        <f>C22</f>
        <v>Beinbeuger</v>
      </c>
      <c r="D58" s="10">
        <v>3</v>
      </c>
      <c r="E58" s="32" t="s">
        <v>41</v>
      </c>
      <c r="F58" s="48"/>
      <c r="G58" s="4" t="s">
        <v>3</v>
      </c>
      <c r="H58" s="39"/>
      <c r="I58" s="32" t="s">
        <v>34</v>
      </c>
      <c r="J58" s="10"/>
      <c r="K58" s="10"/>
      <c r="L58" s="186"/>
      <c r="M58" s="138"/>
      <c r="N58" s="139"/>
      <c r="O58" s="139"/>
      <c r="P58" s="140"/>
      <c r="R58" s="9" t="str">
        <f>R22</f>
        <v>Hintere Schulter</v>
      </c>
      <c r="S58" s="10">
        <v>4</v>
      </c>
      <c r="T58" s="32" t="s">
        <v>28</v>
      </c>
      <c r="U58" s="149"/>
      <c r="V58" s="4" t="s">
        <v>3</v>
      </c>
      <c r="W58" s="150"/>
      <c r="X58" s="32" t="s">
        <v>34</v>
      </c>
      <c r="Y58" s="10"/>
      <c r="Z58" s="10"/>
      <c r="AA58" s="186"/>
      <c r="AB58" s="138"/>
      <c r="AC58" s="139"/>
      <c r="AD58" s="139"/>
      <c r="AE58" s="140"/>
      <c r="AG58" s="9" t="s">
        <v>21</v>
      </c>
      <c r="AH58" s="32" t="s">
        <v>39</v>
      </c>
      <c r="AI58" s="32" t="s">
        <v>38</v>
      </c>
      <c r="AJ58" s="48"/>
      <c r="AK58" s="4" t="s">
        <v>3</v>
      </c>
      <c r="AL58" s="39"/>
      <c r="AM58" s="32" t="s">
        <v>34</v>
      </c>
      <c r="AN58" s="10"/>
      <c r="AO58" s="10"/>
      <c r="AP58" s="186"/>
      <c r="AQ58" s="138"/>
      <c r="AR58" s="139"/>
      <c r="AS58" s="139"/>
      <c r="AT58" s="140"/>
      <c r="AV58" s="9" t="s">
        <v>26</v>
      </c>
      <c r="AW58" s="10">
        <v>3</v>
      </c>
      <c r="AX58" s="10">
        <v>6</v>
      </c>
      <c r="AY58" s="48"/>
      <c r="AZ58" s="4" t="s">
        <v>3</v>
      </c>
      <c r="BA58" s="39"/>
      <c r="BB58" s="32" t="s">
        <v>34</v>
      </c>
      <c r="BC58" s="10"/>
      <c r="BD58" s="10"/>
      <c r="BE58" s="186"/>
      <c r="BF58" s="138"/>
      <c r="BG58" s="139"/>
      <c r="BH58" s="139"/>
      <c r="BI58" s="140"/>
      <c r="BJ58" s="28"/>
      <c r="BK58" s="9" t="str">
        <f>BK22</f>
        <v>Rudern</v>
      </c>
      <c r="BL58" s="10">
        <v>3</v>
      </c>
      <c r="BM58" s="10" t="str">
        <f>IF(OR(BK58="Pendlay Rudern"),"5","6-8")</f>
        <v>6-8</v>
      </c>
      <c r="BN58" s="48"/>
      <c r="BO58" s="4" t="s">
        <v>3</v>
      </c>
      <c r="BP58" s="39"/>
      <c r="BQ58" s="10">
        <v>9</v>
      </c>
      <c r="BR58" s="10"/>
      <c r="BS58" s="10"/>
      <c r="BT58" s="186"/>
      <c r="BU58" s="16"/>
      <c r="BV58" s="17"/>
      <c r="BW58" s="17"/>
      <c r="BX58" s="18"/>
    </row>
    <row r="59" spans="3:76" ht="15.6" x14ac:dyDescent="0.3">
      <c r="C59" s="151" t="str">
        <f>C23</f>
        <v>Optional: Unterarmstütz/Ab Roll</v>
      </c>
      <c r="D59" s="8">
        <v>3</v>
      </c>
      <c r="E59" s="8"/>
      <c r="F59" s="33"/>
      <c r="G59" s="5" t="s">
        <v>3</v>
      </c>
      <c r="H59" s="34"/>
      <c r="I59" s="8"/>
      <c r="J59" s="8"/>
      <c r="K59" s="8"/>
      <c r="L59" s="185"/>
      <c r="M59" s="135"/>
      <c r="N59" s="136"/>
      <c r="O59" s="136"/>
      <c r="P59" s="137"/>
      <c r="R59" s="151"/>
      <c r="S59" s="8"/>
      <c r="T59" s="8"/>
      <c r="U59" s="147"/>
      <c r="V59" s="5" t="s">
        <v>3</v>
      </c>
      <c r="W59" s="148"/>
      <c r="X59" s="8"/>
      <c r="Y59" s="8"/>
      <c r="Z59" s="8"/>
      <c r="AA59" s="185"/>
      <c r="AB59" s="135"/>
      <c r="AC59" s="136"/>
      <c r="AD59" s="136"/>
      <c r="AE59" s="137"/>
      <c r="AG59" s="151" t="s">
        <v>22</v>
      </c>
      <c r="AH59" s="35" t="s">
        <v>39</v>
      </c>
      <c r="AI59" s="35" t="s">
        <v>38</v>
      </c>
      <c r="AJ59" s="33"/>
      <c r="AK59" s="5" t="s">
        <v>3</v>
      </c>
      <c r="AL59" s="34"/>
      <c r="AM59" s="35" t="s">
        <v>34</v>
      </c>
      <c r="AN59" s="8"/>
      <c r="AO59" s="8"/>
      <c r="AP59" s="185"/>
      <c r="AQ59" s="135"/>
      <c r="AR59" s="136"/>
      <c r="AS59" s="136"/>
      <c r="AT59" s="137"/>
      <c r="AV59" s="151" t="s">
        <v>96</v>
      </c>
      <c r="AW59" s="8">
        <v>3</v>
      </c>
      <c r="AX59" s="8"/>
      <c r="AY59" s="33"/>
      <c r="AZ59" s="5" t="s">
        <v>3</v>
      </c>
      <c r="BA59" s="34"/>
      <c r="BB59" s="8"/>
      <c r="BC59" s="8"/>
      <c r="BD59" s="8"/>
      <c r="BE59" s="185"/>
      <c r="BF59" s="135"/>
      <c r="BG59" s="136"/>
      <c r="BH59" s="136"/>
      <c r="BI59" s="137"/>
      <c r="BJ59" s="28"/>
      <c r="BK59" s="151" t="str">
        <f>BK23</f>
        <v>Hintere Schulter</v>
      </c>
      <c r="BL59" s="8">
        <v>3</v>
      </c>
      <c r="BM59" s="35" t="s">
        <v>41</v>
      </c>
      <c r="BN59" s="33"/>
      <c r="BO59" s="5" t="s">
        <v>3</v>
      </c>
      <c r="BP59" s="34"/>
      <c r="BQ59" s="35" t="s">
        <v>34</v>
      </c>
      <c r="BR59" s="8"/>
      <c r="BS59" s="8"/>
      <c r="BT59" s="185"/>
      <c r="BU59" s="13"/>
      <c r="BV59" s="14"/>
      <c r="BW59" s="14"/>
      <c r="BX59" s="15"/>
    </row>
    <row r="60" spans="3:76" ht="15.6" x14ac:dyDescent="0.3">
      <c r="C60" s="9"/>
      <c r="D60" s="10"/>
      <c r="E60" s="10"/>
      <c r="F60" s="48"/>
      <c r="G60" s="4" t="s">
        <v>3</v>
      </c>
      <c r="H60" s="39"/>
      <c r="I60" s="10"/>
      <c r="J60" s="10"/>
      <c r="K60" s="10"/>
      <c r="L60" s="186"/>
      <c r="M60" s="138"/>
      <c r="N60" s="139"/>
      <c r="O60" s="139"/>
      <c r="P60" s="140"/>
      <c r="R60" s="9"/>
      <c r="S60" s="10"/>
      <c r="T60" s="10"/>
      <c r="U60" s="149"/>
      <c r="V60" s="4" t="s">
        <v>3</v>
      </c>
      <c r="W60" s="150"/>
      <c r="X60" s="10"/>
      <c r="Y60" s="10"/>
      <c r="Z60" s="10"/>
      <c r="AA60" s="186"/>
      <c r="AB60" s="138"/>
      <c r="AC60" s="139"/>
      <c r="AD60" s="139"/>
      <c r="AE60" s="140"/>
      <c r="AG60" s="9"/>
      <c r="AH60" s="10"/>
      <c r="AI60" s="10"/>
      <c r="AJ60" s="48"/>
      <c r="AK60" s="4" t="s">
        <v>3</v>
      </c>
      <c r="AL60" s="39"/>
      <c r="AM60" s="10"/>
      <c r="AN60" s="10"/>
      <c r="AO60" s="10"/>
      <c r="AP60" s="186"/>
      <c r="AQ60" s="138"/>
      <c r="AR60" s="139"/>
      <c r="AS60" s="139"/>
      <c r="AT60" s="140"/>
      <c r="AV60" s="9"/>
      <c r="AW60" s="10"/>
      <c r="AX60" s="10"/>
      <c r="AY60" s="48"/>
      <c r="AZ60" s="4" t="s">
        <v>3</v>
      </c>
      <c r="BA60" s="39"/>
      <c r="BB60" s="10"/>
      <c r="BC60" s="10"/>
      <c r="BD60" s="10"/>
      <c r="BE60" s="186"/>
      <c r="BF60" s="138"/>
      <c r="BG60" s="139"/>
      <c r="BH60" s="139"/>
      <c r="BI60" s="140"/>
      <c r="BJ60" s="28"/>
      <c r="BK60" s="9"/>
      <c r="BL60" s="10"/>
      <c r="BM60" s="10"/>
      <c r="BN60" s="48"/>
      <c r="BO60" s="4" t="s">
        <v>3</v>
      </c>
      <c r="BP60" s="39"/>
      <c r="BQ60" s="10"/>
      <c r="BR60" s="10"/>
      <c r="BS60" s="10"/>
      <c r="BT60" s="186"/>
      <c r="BU60" s="16"/>
      <c r="BV60" s="17"/>
      <c r="BW60" s="17"/>
      <c r="BX60" s="18"/>
    </row>
    <row r="61" spans="3:76" ht="16.2" thickBot="1" x14ac:dyDescent="0.35">
      <c r="C61" s="11"/>
      <c r="D61" s="12"/>
      <c r="E61" s="12"/>
      <c r="F61" s="49"/>
      <c r="G61" s="6" t="s">
        <v>3</v>
      </c>
      <c r="H61" s="40"/>
      <c r="I61" s="12"/>
      <c r="J61" s="12"/>
      <c r="K61" s="12"/>
      <c r="L61" s="187"/>
      <c r="M61" s="141"/>
      <c r="N61" s="142"/>
      <c r="O61" s="142"/>
      <c r="P61" s="143"/>
      <c r="R61" s="11"/>
      <c r="S61" s="12"/>
      <c r="T61" s="12"/>
      <c r="U61" s="75"/>
      <c r="V61" s="6" t="s">
        <v>3</v>
      </c>
      <c r="W61" s="77"/>
      <c r="X61" s="12"/>
      <c r="Y61" s="12"/>
      <c r="Z61" s="12"/>
      <c r="AA61" s="187"/>
      <c r="AB61" s="141"/>
      <c r="AC61" s="142"/>
      <c r="AD61" s="142"/>
      <c r="AE61" s="143"/>
      <c r="AG61" s="11"/>
      <c r="AH61" s="12"/>
      <c r="AI61" s="12"/>
      <c r="AJ61" s="49"/>
      <c r="AK61" s="6" t="s">
        <v>3</v>
      </c>
      <c r="AL61" s="40"/>
      <c r="AM61" s="12"/>
      <c r="AN61" s="12"/>
      <c r="AO61" s="12"/>
      <c r="AP61" s="187"/>
      <c r="AQ61" s="141"/>
      <c r="AR61" s="142"/>
      <c r="AS61" s="142"/>
      <c r="AT61" s="143"/>
      <c r="AV61" s="11"/>
      <c r="AW61" s="12"/>
      <c r="AX61" s="12"/>
      <c r="AY61" s="49"/>
      <c r="AZ61" s="6" t="s">
        <v>3</v>
      </c>
      <c r="BA61" s="40"/>
      <c r="BB61" s="12"/>
      <c r="BC61" s="12"/>
      <c r="BD61" s="12"/>
      <c r="BE61" s="187"/>
      <c r="BF61" s="141"/>
      <c r="BG61" s="142"/>
      <c r="BH61" s="142"/>
      <c r="BI61" s="143"/>
      <c r="BJ61" s="28"/>
      <c r="BK61" s="11"/>
      <c r="BL61" s="12"/>
      <c r="BM61" s="12"/>
      <c r="BN61" s="49"/>
      <c r="BO61" s="6" t="s">
        <v>3</v>
      </c>
      <c r="BP61" s="40"/>
      <c r="BQ61" s="12"/>
      <c r="BR61" s="12"/>
      <c r="BS61" s="12"/>
      <c r="BT61" s="187"/>
      <c r="BU61" s="19"/>
      <c r="BV61" s="20"/>
      <c r="BW61" s="20"/>
      <c r="BX61" s="21"/>
    </row>
    <row r="63" spans="3:76" ht="15" thickBot="1" x14ac:dyDescent="0.35">
      <c r="C63" s="127"/>
      <c r="D63" s="127"/>
      <c r="E63" s="127"/>
      <c r="G63" s="127"/>
      <c r="I63" s="127"/>
      <c r="J63" s="127"/>
      <c r="K63" s="127"/>
      <c r="M63" s="127"/>
      <c r="N63" s="127"/>
      <c r="O63" s="127"/>
      <c r="P63" s="127"/>
    </row>
    <row r="64" spans="3:76" ht="24" thickBot="1" x14ac:dyDescent="0.35">
      <c r="C64" s="131" t="s">
        <v>42</v>
      </c>
      <c r="D64" s="1"/>
      <c r="E64" s="1"/>
      <c r="F64" s="47"/>
      <c r="G64" s="1"/>
      <c r="H64" s="50"/>
      <c r="I64" s="1"/>
      <c r="J64" s="1"/>
      <c r="K64" s="1"/>
      <c r="M64" s="1"/>
      <c r="N64" s="1"/>
      <c r="O64" s="1"/>
      <c r="P64" s="1"/>
    </row>
    <row r="65" spans="3:76" ht="18.600000000000001" thickBot="1" x14ac:dyDescent="0.4">
      <c r="C65" s="130" t="s">
        <v>119</v>
      </c>
      <c r="D65" s="219" t="s">
        <v>136</v>
      </c>
      <c r="E65" s="219" t="s">
        <v>56</v>
      </c>
      <c r="F65" s="235" t="s">
        <v>29</v>
      </c>
      <c r="G65" s="235"/>
      <c r="H65" s="241"/>
      <c r="I65" s="219" t="s">
        <v>7</v>
      </c>
      <c r="J65" s="219" t="s">
        <v>137</v>
      </c>
      <c r="K65" s="219" t="s">
        <v>10</v>
      </c>
      <c r="L65" s="218" t="s">
        <v>66</v>
      </c>
      <c r="M65" s="234" t="s">
        <v>9</v>
      </c>
      <c r="N65" s="235"/>
      <c r="O65" s="235"/>
      <c r="P65" s="236"/>
      <c r="R65" s="130" t="s">
        <v>123</v>
      </c>
      <c r="S65" s="219" t="s">
        <v>136</v>
      </c>
      <c r="T65" s="219" t="s">
        <v>56</v>
      </c>
      <c r="U65" s="235" t="s">
        <v>29</v>
      </c>
      <c r="V65" s="235"/>
      <c r="W65" s="241"/>
      <c r="X65" s="219" t="s">
        <v>7</v>
      </c>
      <c r="Y65" s="219" t="s">
        <v>137</v>
      </c>
      <c r="Z65" s="219" t="s">
        <v>10</v>
      </c>
      <c r="AA65" s="218" t="s">
        <v>66</v>
      </c>
      <c r="AB65" s="234" t="s">
        <v>9</v>
      </c>
      <c r="AC65" s="235"/>
      <c r="AD65" s="235"/>
      <c r="AE65" s="236"/>
      <c r="AG65" s="130" t="s">
        <v>127</v>
      </c>
      <c r="AH65" s="219" t="s">
        <v>136</v>
      </c>
      <c r="AI65" s="219" t="s">
        <v>56</v>
      </c>
      <c r="AJ65" s="235" t="s">
        <v>29</v>
      </c>
      <c r="AK65" s="235"/>
      <c r="AL65" s="241"/>
      <c r="AM65" s="219" t="s">
        <v>7</v>
      </c>
      <c r="AN65" s="219" t="s">
        <v>137</v>
      </c>
      <c r="AO65" s="219" t="s">
        <v>10</v>
      </c>
      <c r="AP65" s="218" t="s">
        <v>66</v>
      </c>
      <c r="AQ65" s="234" t="s">
        <v>9</v>
      </c>
      <c r="AR65" s="235"/>
      <c r="AS65" s="235"/>
      <c r="AT65" s="236"/>
      <c r="AV65" s="130" t="s">
        <v>131</v>
      </c>
      <c r="AW65" s="219" t="s">
        <v>136</v>
      </c>
      <c r="AX65" s="219" t="s">
        <v>56</v>
      </c>
      <c r="AY65" s="235" t="s">
        <v>29</v>
      </c>
      <c r="AZ65" s="235"/>
      <c r="BA65" s="241"/>
      <c r="BB65" s="219" t="s">
        <v>7</v>
      </c>
      <c r="BC65" s="219" t="s">
        <v>137</v>
      </c>
      <c r="BD65" s="219" t="s">
        <v>10</v>
      </c>
      <c r="BE65" s="218" t="s">
        <v>66</v>
      </c>
      <c r="BF65" s="234" t="s">
        <v>9</v>
      </c>
      <c r="BG65" s="235"/>
      <c r="BH65" s="235"/>
      <c r="BI65" s="236"/>
      <c r="BJ65" s="29"/>
      <c r="BK65" s="190" t="s">
        <v>135</v>
      </c>
      <c r="BL65" s="219" t="s">
        <v>136</v>
      </c>
      <c r="BM65" s="219" t="s">
        <v>56</v>
      </c>
      <c r="BN65" s="235" t="s">
        <v>29</v>
      </c>
      <c r="BO65" s="235"/>
      <c r="BP65" s="241"/>
      <c r="BQ65" s="219" t="s">
        <v>7</v>
      </c>
      <c r="BR65" s="219" t="s">
        <v>137</v>
      </c>
      <c r="BS65" s="219" t="s">
        <v>10</v>
      </c>
      <c r="BT65" s="218" t="s">
        <v>66</v>
      </c>
      <c r="BU65" s="234" t="s">
        <v>9</v>
      </c>
      <c r="BV65" s="235"/>
      <c r="BW65" s="235"/>
      <c r="BX65" s="236"/>
    </row>
    <row r="66" spans="3:76" ht="15.6" x14ac:dyDescent="0.3">
      <c r="C66" s="151" t="str">
        <f>C18</f>
        <v>WK-Kniebeuge</v>
      </c>
      <c r="D66" s="8">
        <v>3</v>
      </c>
      <c r="E66" s="8">
        <v>3</v>
      </c>
      <c r="F66" s="33">
        <f>(0.78*D10)-5</f>
        <v>-5</v>
      </c>
      <c r="G66" s="5" t="s">
        <v>3</v>
      </c>
      <c r="H66" s="34">
        <f>(0.78*D10)+5</f>
        <v>5</v>
      </c>
      <c r="I66" s="31" t="s">
        <v>31</v>
      </c>
      <c r="J66" s="8" t="s">
        <v>61</v>
      </c>
      <c r="K66" s="8"/>
      <c r="L66" s="185"/>
      <c r="M66" s="144"/>
      <c r="N66" s="145"/>
      <c r="O66" s="145"/>
      <c r="P66" s="146"/>
      <c r="R66" s="151" t="s">
        <v>97</v>
      </c>
      <c r="S66" s="8">
        <v>3</v>
      </c>
      <c r="T66" s="8">
        <v>5</v>
      </c>
      <c r="U66" s="33">
        <f>(0.74*F10)-5</f>
        <v>-5</v>
      </c>
      <c r="V66" s="5" t="s">
        <v>3</v>
      </c>
      <c r="W66" s="34">
        <f>(0.74*F10)+5</f>
        <v>5</v>
      </c>
      <c r="X66" s="8" t="s">
        <v>31</v>
      </c>
      <c r="Y66" s="8" t="s">
        <v>62</v>
      </c>
      <c r="Z66" s="8"/>
      <c r="AA66" s="185"/>
      <c r="AB66" s="144"/>
      <c r="AC66" s="145"/>
      <c r="AD66" s="145"/>
      <c r="AE66" s="146"/>
      <c r="AG66" s="151" t="s">
        <v>98</v>
      </c>
      <c r="AH66" s="8">
        <v>3</v>
      </c>
      <c r="AI66" s="8">
        <v>3</v>
      </c>
      <c r="AJ66" s="33">
        <f>(0.78*H10)-5</f>
        <v>-5</v>
      </c>
      <c r="AK66" s="5" t="s">
        <v>3</v>
      </c>
      <c r="AL66" s="34">
        <f>(0.78*H10)+5</f>
        <v>5</v>
      </c>
      <c r="AM66" s="8" t="s">
        <v>31</v>
      </c>
      <c r="AN66" s="8" t="s">
        <v>40</v>
      </c>
      <c r="AO66" s="8"/>
      <c r="AP66" s="185"/>
      <c r="AQ66" s="144"/>
      <c r="AR66" s="145"/>
      <c r="AS66" s="145"/>
      <c r="AT66" s="146"/>
      <c r="AV66" s="151" t="s">
        <v>99</v>
      </c>
      <c r="AW66" s="8">
        <v>3</v>
      </c>
      <c r="AX66" s="8">
        <v>4</v>
      </c>
      <c r="AY66" s="33">
        <f>(0.75*D13)-5</f>
        <v>-5</v>
      </c>
      <c r="AZ66" s="5" t="s">
        <v>3</v>
      </c>
      <c r="BA66" s="34">
        <f>(0.75*D13)+5</f>
        <v>5</v>
      </c>
      <c r="BB66" s="8" t="s">
        <v>31</v>
      </c>
      <c r="BC66" s="8" t="s">
        <v>61</v>
      </c>
      <c r="BD66" s="8"/>
      <c r="BE66" s="185"/>
      <c r="BF66" s="144"/>
      <c r="BG66" s="145"/>
      <c r="BH66" s="145"/>
      <c r="BI66" s="146"/>
      <c r="BJ66" s="28"/>
      <c r="BK66" s="151" t="str">
        <f>BK18</f>
        <v>WK-Bankdrücken</v>
      </c>
      <c r="BL66" s="8">
        <v>3</v>
      </c>
      <c r="BM66" s="8">
        <v>3</v>
      </c>
      <c r="BN66" s="33">
        <f>(0.78*F10)-5</f>
        <v>-5</v>
      </c>
      <c r="BO66" s="5" t="s">
        <v>3</v>
      </c>
      <c r="BP66" s="34">
        <f>(0.78*F10)+5</f>
        <v>5</v>
      </c>
      <c r="BQ66" s="8" t="s">
        <v>31</v>
      </c>
      <c r="BR66" s="8" t="s">
        <v>62</v>
      </c>
      <c r="BS66" s="8"/>
      <c r="BT66" s="185"/>
      <c r="BU66" s="22"/>
      <c r="BV66" s="23"/>
      <c r="BW66" s="23"/>
      <c r="BX66" s="24"/>
    </row>
    <row r="67" spans="3:76" ht="15.6" x14ac:dyDescent="0.3">
      <c r="C67" s="9" t="str">
        <f>C20</f>
        <v>Unterkörperübung, unilateral</v>
      </c>
      <c r="D67" s="10">
        <v>2</v>
      </c>
      <c r="E67" s="10">
        <v>6</v>
      </c>
      <c r="F67" s="48"/>
      <c r="G67" s="4" t="s">
        <v>3</v>
      </c>
      <c r="H67" s="39"/>
      <c r="I67" s="10">
        <v>7</v>
      </c>
      <c r="J67" s="10"/>
      <c r="K67" s="10"/>
      <c r="L67" s="186"/>
      <c r="M67" s="138"/>
      <c r="N67" s="139"/>
      <c r="O67" s="139"/>
      <c r="P67" s="140"/>
      <c r="R67" s="9" t="str">
        <f>R20</f>
        <v>Latzug</v>
      </c>
      <c r="S67" s="10">
        <v>2</v>
      </c>
      <c r="T67" s="10">
        <v>6</v>
      </c>
      <c r="U67" s="149"/>
      <c r="V67" s="4" t="s">
        <v>3</v>
      </c>
      <c r="W67" s="150"/>
      <c r="X67" s="10">
        <v>7</v>
      </c>
      <c r="Y67" s="10"/>
      <c r="Z67" s="10"/>
      <c r="AA67" s="186"/>
      <c r="AB67" s="138"/>
      <c r="AC67" s="139"/>
      <c r="AD67" s="139"/>
      <c r="AE67" s="140"/>
      <c r="AG67" s="9" t="str">
        <f>AG20</f>
        <v>Bankdrücken - Variation</v>
      </c>
      <c r="AH67" s="10">
        <v>2</v>
      </c>
      <c r="AI67" s="10">
        <v>2</v>
      </c>
      <c r="AJ67" s="48">
        <f>IF(AG20="3ct. WK-Bankdrücken",(F11*0.8)-5,(F12*0.8)-5)</f>
        <v>-5</v>
      </c>
      <c r="AK67" s="4" t="s">
        <v>3</v>
      </c>
      <c r="AL67" s="39">
        <f>IF(AG20="3ct. WK-Bankdrücken",(F11*0.8)+5,(F12*0.8)+5)</f>
        <v>5</v>
      </c>
      <c r="AM67" s="10" t="s">
        <v>31</v>
      </c>
      <c r="AN67" s="10" t="s">
        <v>62</v>
      </c>
      <c r="AO67" s="10"/>
      <c r="AP67" s="186"/>
      <c r="AQ67" s="138"/>
      <c r="AR67" s="139"/>
      <c r="AS67" s="139"/>
      <c r="AT67" s="140"/>
      <c r="AV67" s="9" t="str">
        <f>AV20</f>
        <v>Kreuzheben - Variation</v>
      </c>
      <c r="AW67" s="10">
        <v>2</v>
      </c>
      <c r="AX67" s="10">
        <v>4</v>
      </c>
      <c r="AY67" s="48">
        <f>IF(AV20="1ct. WK-Kreuzheben",((0.75*H12)-5),((0.75*H11)-5))</f>
        <v>-5</v>
      </c>
      <c r="AZ67" s="4" t="s">
        <v>3</v>
      </c>
      <c r="BA67" s="39">
        <f>IF(AV20="1ct. WK-Kreuzheben",((0.75*H12)+5),((0.75*H11)+5))</f>
        <v>5</v>
      </c>
      <c r="BB67" s="10">
        <v>6</v>
      </c>
      <c r="BC67" s="10" t="s">
        <v>40</v>
      </c>
      <c r="BD67" s="10"/>
      <c r="BE67" s="186"/>
      <c r="BF67" s="138"/>
      <c r="BG67" s="139"/>
      <c r="BH67" s="139"/>
      <c r="BI67" s="140"/>
      <c r="BJ67" s="28"/>
      <c r="BK67" s="9" t="str">
        <f>BK20</f>
        <v>Enges Bankdrücken</v>
      </c>
      <c r="BL67" s="10">
        <v>2</v>
      </c>
      <c r="BM67" s="10">
        <v>4</v>
      </c>
      <c r="BN67" s="48">
        <f>(0.75*F13)-5</f>
        <v>-5</v>
      </c>
      <c r="BO67" s="4" t="s">
        <v>3</v>
      </c>
      <c r="BP67" s="39">
        <f>(0.75*F13)+5</f>
        <v>5</v>
      </c>
      <c r="BQ67" s="10" t="s">
        <v>31</v>
      </c>
      <c r="BR67" s="10" t="s">
        <v>62</v>
      </c>
      <c r="BS67" s="10"/>
      <c r="BT67" s="186"/>
      <c r="BU67" s="16"/>
      <c r="BV67" s="17"/>
      <c r="BW67" s="17"/>
      <c r="BX67" s="18"/>
    </row>
    <row r="68" spans="3:76" ht="15.6" x14ac:dyDescent="0.3">
      <c r="C68" s="151" t="str">
        <f>C21</f>
        <v>Rudern</v>
      </c>
      <c r="D68" s="8">
        <v>3</v>
      </c>
      <c r="E68" s="8">
        <v>6</v>
      </c>
      <c r="F68" s="33"/>
      <c r="G68" s="5" t="s">
        <v>3</v>
      </c>
      <c r="H68" s="34"/>
      <c r="I68" s="8">
        <v>7</v>
      </c>
      <c r="J68" s="8"/>
      <c r="K68" s="8"/>
      <c r="L68" s="185"/>
      <c r="M68" s="135"/>
      <c r="N68" s="136"/>
      <c r="O68" s="136"/>
      <c r="P68" s="137"/>
      <c r="R68" s="151" t="str">
        <f>R21</f>
        <v>Oberkörper Drückbewegung</v>
      </c>
      <c r="S68" s="8">
        <v>2</v>
      </c>
      <c r="T68" s="8">
        <f>IF(OR(R68="Dips",C69="LH Schulterdrücken"),5,6)</f>
        <v>6</v>
      </c>
      <c r="U68" s="147"/>
      <c r="V68" s="5" t="s">
        <v>3</v>
      </c>
      <c r="W68" s="148"/>
      <c r="X68" s="8">
        <v>7</v>
      </c>
      <c r="Y68" s="8"/>
      <c r="Z68" s="8"/>
      <c r="AA68" s="185"/>
      <c r="AB68" s="135"/>
      <c r="AC68" s="136"/>
      <c r="AD68" s="136"/>
      <c r="AE68" s="137"/>
      <c r="AG68" s="151" t="str">
        <f>AG21</f>
        <v>Kniebeuge - Variation</v>
      </c>
      <c r="AH68" s="8">
        <v>2</v>
      </c>
      <c r="AI68" s="8">
        <v>2</v>
      </c>
      <c r="AJ68" s="33">
        <f>IF(AG21="2ct. Competition Squat",(D11*0.8)-5,(D12*0.8)-5)</f>
        <v>-5</v>
      </c>
      <c r="AK68" s="5" t="s">
        <v>3</v>
      </c>
      <c r="AL68" s="34">
        <f>IF(AG21="2ct. Competition Squat",(D11*0.8)+5,(D12*0.8)+5)</f>
        <v>5</v>
      </c>
      <c r="AM68" s="8" t="s">
        <v>31</v>
      </c>
      <c r="AN68" s="83" t="s">
        <v>61</v>
      </c>
      <c r="AO68" s="8"/>
      <c r="AP68" s="185"/>
      <c r="AQ68" s="135"/>
      <c r="AR68" s="136"/>
      <c r="AS68" s="136"/>
      <c r="AT68" s="137"/>
      <c r="AV68" s="151" t="str">
        <f>AV21</f>
        <v>Latzug</v>
      </c>
      <c r="AW68" s="8">
        <v>3</v>
      </c>
      <c r="AX68" s="8">
        <v>6</v>
      </c>
      <c r="AY68" s="33"/>
      <c r="AZ68" s="5" t="s">
        <v>3</v>
      </c>
      <c r="BA68" s="34"/>
      <c r="BB68" s="8">
        <v>6</v>
      </c>
      <c r="BC68" s="8"/>
      <c r="BD68" s="8"/>
      <c r="BE68" s="185"/>
      <c r="BF68" s="135"/>
      <c r="BG68" s="136"/>
      <c r="BH68" s="136"/>
      <c r="BI68" s="137"/>
      <c r="BJ68" s="28"/>
      <c r="BK68" s="151" t="str">
        <f>BK21</f>
        <v>Oberkörper Drückbewegung</v>
      </c>
      <c r="BL68" s="8">
        <v>2</v>
      </c>
      <c r="BM68" s="8">
        <v>6</v>
      </c>
      <c r="BN68" s="33"/>
      <c r="BO68" s="5" t="s">
        <v>3</v>
      </c>
      <c r="BP68" s="34"/>
      <c r="BQ68" s="8">
        <v>6</v>
      </c>
      <c r="BR68" s="8"/>
      <c r="BS68" s="8"/>
      <c r="BT68" s="185"/>
      <c r="BU68" s="13"/>
      <c r="BV68" s="14"/>
      <c r="BW68" s="14"/>
      <c r="BX68" s="15"/>
    </row>
    <row r="69" spans="3:76" ht="15.6" x14ac:dyDescent="0.3">
      <c r="C69" s="9" t="str">
        <f>C22</f>
        <v>Beinbeuger</v>
      </c>
      <c r="D69" s="10">
        <v>2</v>
      </c>
      <c r="E69" s="10">
        <v>8</v>
      </c>
      <c r="F69" s="48"/>
      <c r="G69" s="4" t="s">
        <v>3</v>
      </c>
      <c r="H69" s="39"/>
      <c r="I69" s="10">
        <v>7</v>
      </c>
      <c r="J69" s="10"/>
      <c r="K69" s="10"/>
      <c r="L69" s="186"/>
      <c r="M69" s="138"/>
      <c r="N69" s="139"/>
      <c r="O69" s="139"/>
      <c r="P69" s="140"/>
      <c r="R69" s="9" t="str">
        <f>R22</f>
        <v>Hintere Schulter</v>
      </c>
      <c r="S69" s="10">
        <v>3</v>
      </c>
      <c r="T69" s="10">
        <v>8</v>
      </c>
      <c r="U69" s="149"/>
      <c r="V69" s="4" t="s">
        <v>3</v>
      </c>
      <c r="W69" s="150"/>
      <c r="X69" s="10">
        <v>7</v>
      </c>
      <c r="Y69" s="10"/>
      <c r="Z69" s="10"/>
      <c r="AA69" s="186"/>
      <c r="AB69" s="138"/>
      <c r="AC69" s="139"/>
      <c r="AD69" s="139"/>
      <c r="AE69" s="140"/>
      <c r="AG69" s="9" t="s">
        <v>21</v>
      </c>
      <c r="AH69" s="10">
        <v>2</v>
      </c>
      <c r="AI69" s="32">
        <v>8</v>
      </c>
      <c r="AJ69" s="48"/>
      <c r="AK69" s="4" t="s">
        <v>3</v>
      </c>
      <c r="AL69" s="39"/>
      <c r="AM69" s="10">
        <v>7</v>
      </c>
      <c r="AN69" s="10"/>
      <c r="AO69" s="10"/>
      <c r="AP69" s="186"/>
      <c r="AQ69" s="138"/>
      <c r="AR69" s="139"/>
      <c r="AS69" s="139"/>
      <c r="AT69" s="140"/>
      <c r="AV69" s="9" t="s">
        <v>26</v>
      </c>
      <c r="AW69" s="10">
        <v>2</v>
      </c>
      <c r="AX69" s="10">
        <v>6</v>
      </c>
      <c r="AY69" s="48"/>
      <c r="AZ69" s="4" t="s">
        <v>3</v>
      </c>
      <c r="BA69" s="39"/>
      <c r="BB69" s="10">
        <v>6</v>
      </c>
      <c r="BC69" s="10"/>
      <c r="BD69" s="10"/>
      <c r="BE69" s="186"/>
      <c r="BF69" s="138"/>
      <c r="BG69" s="139"/>
      <c r="BH69" s="139"/>
      <c r="BI69" s="140"/>
      <c r="BJ69" s="28"/>
      <c r="BK69" s="9" t="str">
        <f>BK22</f>
        <v>Rudern</v>
      </c>
      <c r="BL69" s="10">
        <v>3</v>
      </c>
      <c r="BM69" s="10" t="str">
        <f>IF(OR(BK69="Pendlay Rudern"),"4","6")</f>
        <v>6</v>
      </c>
      <c r="BN69" s="48"/>
      <c r="BO69" s="4" t="s">
        <v>3</v>
      </c>
      <c r="BP69" s="39"/>
      <c r="BQ69" s="10">
        <v>6</v>
      </c>
      <c r="BR69" s="10"/>
      <c r="BS69" s="10"/>
      <c r="BT69" s="186"/>
      <c r="BU69" s="16"/>
      <c r="BV69" s="17"/>
      <c r="BW69" s="17"/>
      <c r="BX69" s="18"/>
    </row>
    <row r="70" spans="3:76" ht="15.6" x14ac:dyDescent="0.3">
      <c r="C70" s="151" t="str">
        <f>C23</f>
        <v>Optional: Unterarmstütz/Ab Roll</v>
      </c>
      <c r="D70" s="8">
        <v>2</v>
      </c>
      <c r="E70" s="8"/>
      <c r="F70" s="33"/>
      <c r="G70" s="5" t="s">
        <v>3</v>
      </c>
      <c r="H70" s="34"/>
      <c r="I70" s="8"/>
      <c r="J70" s="8"/>
      <c r="K70" s="8"/>
      <c r="L70" s="185"/>
      <c r="M70" s="135"/>
      <c r="N70" s="136"/>
      <c r="O70" s="136"/>
      <c r="P70" s="137"/>
      <c r="R70" s="151"/>
      <c r="S70" s="8"/>
      <c r="T70" s="8"/>
      <c r="U70" s="147"/>
      <c r="V70" s="5" t="s">
        <v>3</v>
      </c>
      <c r="W70" s="148"/>
      <c r="X70" s="8"/>
      <c r="Y70" s="8"/>
      <c r="Z70" s="8"/>
      <c r="AA70" s="185"/>
      <c r="AB70" s="135"/>
      <c r="AC70" s="136"/>
      <c r="AD70" s="136"/>
      <c r="AE70" s="137"/>
      <c r="AG70" s="151" t="s">
        <v>22</v>
      </c>
      <c r="AH70" s="8">
        <v>2</v>
      </c>
      <c r="AI70" s="35">
        <v>8</v>
      </c>
      <c r="AJ70" s="33"/>
      <c r="AK70" s="5" t="s">
        <v>3</v>
      </c>
      <c r="AL70" s="34"/>
      <c r="AM70" s="8">
        <v>7</v>
      </c>
      <c r="AN70" s="8"/>
      <c r="AO70" s="8"/>
      <c r="AP70" s="185"/>
      <c r="AQ70" s="135"/>
      <c r="AR70" s="136"/>
      <c r="AS70" s="136"/>
      <c r="AT70" s="137"/>
      <c r="AV70" s="151" t="s">
        <v>96</v>
      </c>
      <c r="AW70" s="8">
        <v>2</v>
      </c>
      <c r="AX70" s="8"/>
      <c r="AY70" s="33"/>
      <c r="AZ70" s="5" t="s">
        <v>3</v>
      </c>
      <c r="BA70" s="34"/>
      <c r="BB70" s="8"/>
      <c r="BC70" s="8"/>
      <c r="BD70" s="8"/>
      <c r="BE70" s="185"/>
      <c r="BF70" s="135"/>
      <c r="BG70" s="136"/>
      <c r="BH70" s="136"/>
      <c r="BI70" s="137"/>
      <c r="BJ70" s="28"/>
      <c r="BK70" s="151" t="str">
        <f>BK23</f>
        <v>Hintere Schulter</v>
      </c>
      <c r="BL70" s="8">
        <v>3</v>
      </c>
      <c r="BM70" s="8">
        <v>8</v>
      </c>
      <c r="BN70" s="33"/>
      <c r="BO70" s="5" t="s">
        <v>3</v>
      </c>
      <c r="BP70" s="34"/>
      <c r="BQ70" s="8">
        <v>6</v>
      </c>
      <c r="BR70" s="8"/>
      <c r="BS70" s="8"/>
      <c r="BT70" s="185"/>
      <c r="BU70" s="13"/>
      <c r="BV70" s="14"/>
      <c r="BW70" s="14"/>
      <c r="BX70" s="15"/>
    </row>
    <row r="71" spans="3:76" ht="15.6" x14ac:dyDescent="0.3">
      <c r="C71" s="9"/>
      <c r="D71" s="10"/>
      <c r="E71" s="10"/>
      <c r="F71" s="48"/>
      <c r="G71" s="4" t="s">
        <v>3</v>
      </c>
      <c r="H71" s="39"/>
      <c r="I71" s="10"/>
      <c r="J71" s="10"/>
      <c r="K71" s="10"/>
      <c r="L71" s="186"/>
      <c r="M71" s="138"/>
      <c r="N71" s="139"/>
      <c r="O71" s="139"/>
      <c r="P71" s="140"/>
      <c r="R71" s="9"/>
      <c r="S71" s="10"/>
      <c r="T71" s="10"/>
      <c r="U71" s="149"/>
      <c r="V71" s="4" t="s">
        <v>3</v>
      </c>
      <c r="W71" s="150"/>
      <c r="X71" s="10"/>
      <c r="Y71" s="10"/>
      <c r="Z71" s="10"/>
      <c r="AA71" s="186"/>
      <c r="AB71" s="138"/>
      <c r="AC71" s="139"/>
      <c r="AD71" s="139"/>
      <c r="AE71" s="140"/>
      <c r="AG71" s="9"/>
      <c r="AH71" s="10"/>
      <c r="AI71" s="10"/>
      <c r="AJ71" s="48"/>
      <c r="AK71" s="4" t="s">
        <v>3</v>
      </c>
      <c r="AL71" s="39"/>
      <c r="AM71" s="10"/>
      <c r="AN71" s="10"/>
      <c r="AO71" s="10"/>
      <c r="AP71" s="186"/>
      <c r="AQ71" s="138"/>
      <c r="AR71" s="139"/>
      <c r="AS71" s="139"/>
      <c r="AT71" s="140"/>
      <c r="AV71" s="9"/>
      <c r="AW71" s="10"/>
      <c r="AX71" s="10"/>
      <c r="AY71" s="48"/>
      <c r="AZ71" s="4" t="s">
        <v>3</v>
      </c>
      <c r="BA71" s="39"/>
      <c r="BB71" s="10"/>
      <c r="BC71" s="10"/>
      <c r="BD71" s="10"/>
      <c r="BE71" s="186"/>
      <c r="BF71" s="138"/>
      <c r="BG71" s="139"/>
      <c r="BH71" s="139"/>
      <c r="BI71" s="140"/>
      <c r="BJ71" s="28"/>
      <c r="BK71" s="9"/>
      <c r="BL71" s="10"/>
      <c r="BM71" s="10"/>
      <c r="BN71" s="48"/>
      <c r="BO71" s="4" t="s">
        <v>3</v>
      </c>
      <c r="BP71" s="39"/>
      <c r="BQ71" s="10"/>
      <c r="BR71" s="10"/>
      <c r="BS71" s="10"/>
      <c r="BT71" s="186"/>
      <c r="BU71" s="16"/>
      <c r="BV71" s="17"/>
      <c r="BW71" s="17"/>
      <c r="BX71" s="18"/>
    </row>
    <row r="72" spans="3:76" ht="16.2" thickBot="1" x14ac:dyDescent="0.35">
      <c r="C72" s="11"/>
      <c r="D72" s="12"/>
      <c r="E72" s="12"/>
      <c r="F72" s="49"/>
      <c r="G72" s="6" t="s">
        <v>3</v>
      </c>
      <c r="H72" s="40"/>
      <c r="I72" s="12"/>
      <c r="J72" s="12"/>
      <c r="K72" s="12"/>
      <c r="L72" s="187"/>
      <c r="M72" s="141"/>
      <c r="N72" s="142"/>
      <c r="O72" s="142"/>
      <c r="P72" s="143"/>
      <c r="R72" s="11"/>
      <c r="S72" s="12"/>
      <c r="T72" s="12"/>
      <c r="U72" s="75"/>
      <c r="V72" s="6" t="s">
        <v>3</v>
      </c>
      <c r="W72" s="77"/>
      <c r="X72" s="12"/>
      <c r="Y72" s="12"/>
      <c r="Z72" s="12"/>
      <c r="AA72" s="187"/>
      <c r="AB72" s="141"/>
      <c r="AC72" s="142"/>
      <c r="AD72" s="142"/>
      <c r="AE72" s="143"/>
      <c r="AG72" s="11"/>
      <c r="AH72" s="12"/>
      <c r="AI72" s="12"/>
      <c r="AJ72" s="49"/>
      <c r="AK72" s="6" t="s">
        <v>3</v>
      </c>
      <c r="AL72" s="40"/>
      <c r="AM72" s="12"/>
      <c r="AN72" s="12"/>
      <c r="AO72" s="12"/>
      <c r="AP72" s="187"/>
      <c r="AQ72" s="141"/>
      <c r="AR72" s="142"/>
      <c r="AS72" s="142"/>
      <c r="AT72" s="143"/>
      <c r="AV72" s="11"/>
      <c r="AW72" s="12"/>
      <c r="AX72" s="12"/>
      <c r="AY72" s="49"/>
      <c r="AZ72" s="6" t="s">
        <v>3</v>
      </c>
      <c r="BA72" s="40"/>
      <c r="BB72" s="12"/>
      <c r="BC72" s="12"/>
      <c r="BD72" s="12"/>
      <c r="BE72" s="187"/>
      <c r="BF72" s="141"/>
      <c r="BG72" s="142"/>
      <c r="BH72" s="142"/>
      <c r="BI72" s="143"/>
      <c r="BJ72" s="28"/>
      <c r="BK72" s="11"/>
      <c r="BL72" s="12"/>
      <c r="BM72" s="12"/>
      <c r="BN72" s="49"/>
      <c r="BO72" s="6" t="s">
        <v>3</v>
      </c>
      <c r="BP72" s="40"/>
      <c r="BQ72" s="12"/>
      <c r="BR72" s="12"/>
      <c r="BS72" s="12"/>
      <c r="BT72" s="187"/>
      <c r="BU72" s="19"/>
      <c r="BV72" s="20"/>
      <c r="BW72" s="20"/>
      <c r="BX72" s="21"/>
    </row>
    <row r="74" spans="3:76" x14ac:dyDescent="0.3">
      <c r="C74" s="127"/>
      <c r="D74" s="127"/>
      <c r="E74" s="127"/>
      <c r="G74" s="127"/>
      <c r="I74" s="127"/>
      <c r="J74" s="127"/>
      <c r="K74" s="127"/>
      <c r="M74" s="127"/>
      <c r="N74" s="127"/>
      <c r="O74" s="127"/>
      <c r="P74" s="127"/>
    </row>
  </sheetData>
  <mergeCells count="173">
    <mergeCell ref="M65:P65"/>
    <mergeCell ref="AB65:AE65"/>
    <mergeCell ref="AQ65:AT65"/>
    <mergeCell ref="AQ57:AT57"/>
    <mergeCell ref="AB56:AE56"/>
    <mergeCell ref="AQ56:AT56"/>
    <mergeCell ref="BF56:BI56"/>
    <mergeCell ref="BU56:BX56"/>
    <mergeCell ref="BF55:BI55"/>
    <mergeCell ref="U65:W65"/>
    <mergeCell ref="AJ65:AL65"/>
    <mergeCell ref="BF65:BI65"/>
    <mergeCell ref="BU65:BX65"/>
    <mergeCell ref="M56:P56"/>
    <mergeCell ref="M54:P54"/>
    <mergeCell ref="AB54:AE54"/>
    <mergeCell ref="AQ54:AT54"/>
    <mergeCell ref="M49:P49"/>
    <mergeCell ref="AB49:AE49"/>
    <mergeCell ref="AQ49:AT49"/>
    <mergeCell ref="BF54:BI54"/>
    <mergeCell ref="BU54:BX54"/>
    <mergeCell ref="M55:P55"/>
    <mergeCell ref="AB55:AE55"/>
    <mergeCell ref="AQ55:AT55"/>
    <mergeCell ref="AJ55:AL55"/>
    <mergeCell ref="BN55:BP55"/>
    <mergeCell ref="M46:P46"/>
    <mergeCell ref="AB46:AE46"/>
    <mergeCell ref="AQ46:AT46"/>
    <mergeCell ref="BF46:BI46"/>
    <mergeCell ref="BU46:BX46"/>
    <mergeCell ref="BF49:BI49"/>
    <mergeCell ref="BU49:BX49"/>
    <mergeCell ref="M47:P47"/>
    <mergeCell ref="AB47:AE47"/>
    <mergeCell ref="AQ47:AT47"/>
    <mergeCell ref="BF47:BI47"/>
    <mergeCell ref="BU47:BX47"/>
    <mergeCell ref="M48:P48"/>
    <mergeCell ref="AB48:AE48"/>
    <mergeCell ref="AQ48:AT48"/>
    <mergeCell ref="BF48:BI48"/>
    <mergeCell ref="BU48:BX48"/>
    <mergeCell ref="AQ45:AT45"/>
    <mergeCell ref="AB44:AE44"/>
    <mergeCell ref="AQ44:AT44"/>
    <mergeCell ref="BF44:BI44"/>
    <mergeCell ref="BU44:BX44"/>
    <mergeCell ref="M45:P45"/>
    <mergeCell ref="AB45:AE45"/>
    <mergeCell ref="M44:P44"/>
    <mergeCell ref="BF45:BI45"/>
    <mergeCell ref="BU45:BX45"/>
    <mergeCell ref="AQ33:AT33"/>
    <mergeCell ref="AB32:AE32"/>
    <mergeCell ref="AQ32:AT32"/>
    <mergeCell ref="BF32:BI32"/>
    <mergeCell ref="BU32:BX32"/>
    <mergeCell ref="M42:P42"/>
    <mergeCell ref="AB42:AE42"/>
    <mergeCell ref="AQ42:AT42"/>
    <mergeCell ref="M37:P37"/>
    <mergeCell ref="AB37:AE37"/>
    <mergeCell ref="AQ37:AT37"/>
    <mergeCell ref="BF42:BI42"/>
    <mergeCell ref="BU42:BX42"/>
    <mergeCell ref="AY41:BA41"/>
    <mergeCell ref="BF41:BI41"/>
    <mergeCell ref="BN41:BP41"/>
    <mergeCell ref="M34:P34"/>
    <mergeCell ref="AB34:AE34"/>
    <mergeCell ref="AQ34:AT34"/>
    <mergeCell ref="BF34:BI34"/>
    <mergeCell ref="BU34:BX34"/>
    <mergeCell ref="BF37:BI37"/>
    <mergeCell ref="BU37:BX37"/>
    <mergeCell ref="M35:P35"/>
    <mergeCell ref="AB35:AE35"/>
    <mergeCell ref="AQ35:AT35"/>
    <mergeCell ref="BF35:BI35"/>
    <mergeCell ref="BU35:BX35"/>
    <mergeCell ref="M36:P36"/>
    <mergeCell ref="AB36:AE36"/>
    <mergeCell ref="AQ36:AT36"/>
    <mergeCell ref="BF36:BI36"/>
    <mergeCell ref="BU36:BX36"/>
    <mergeCell ref="M32:P32"/>
    <mergeCell ref="BF33:BI33"/>
    <mergeCell ref="BU33:BX33"/>
    <mergeCell ref="BU22:BX22"/>
    <mergeCell ref="BF25:BI25"/>
    <mergeCell ref="BU25:BX25"/>
    <mergeCell ref="M23:P23"/>
    <mergeCell ref="AB23:AE23"/>
    <mergeCell ref="AQ23:AT23"/>
    <mergeCell ref="BF23:BI23"/>
    <mergeCell ref="BU23:BX23"/>
    <mergeCell ref="M24:P24"/>
    <mergeCell ref="AB24:AE24"/>
    <mergeCell ref="AQ24:AT24"/>
    <mergeCell ref="BF24:BI24"/>
    <mergeCell ref="BU24:BX24"/>
    <mergeCell ref="M25:P25"/>
    <mergeCell ref="AB25:AE25"/>
    <mergeCell ref="AQ25:AT25"/>
    <mergeCell ref="M22:P22"/>
    <mergeCell ref="AB22:AE22"/>
    <mergeCell ref="AQ22:AT22"/>
    <mergeCell ref="BU29:BX29"/>
    <mergeCell ref="BU30:BX30"/>
    <mergeCell ref="BN29:BP29"/>
    <mergeCell ref="BU18:BX18"/>
    <mergeCell ref="AQ21:AT21"/>
    <mergeCell ref="AB20:AE20"/>
    <mergeCell ref="AQ20:AT20"/>
    <mergeCell ref="BF20:BI20"/>
    <mergeCell ref="BU20:BX20"/>
    <mergeCell ref="AB21:AE21"/>
    <mergeCell ref="BU17:BX17"/>
    <mergeCell ref="BF21:BI21"/>
    <mergeCell ref="BU21:BX21"/>
    <mergeCell ref="BN17:BP17"/>
    <mergeCell ref="BF18:BI18"/>
    <mergeCell ref="BF22:BI22"/>
    <mergeCell ref="AQ41:AT41"/>
    <mergeCell ref="F17:H17"/>
    <mergeCell ref="M17:P17"/>
    <mergeCell ref="U17:W17"/>
    <mergeCell ref="AB17:AE17"/>
    <mergeCell ref="AJ17:AL17"/>
    <mergeCell ref="AQ17:AT17"/>
    <mergeCell ref="AY17:BA17"/>
    <mergeCell ref="BF17:BI17"/>
    <mergeCell ref="M30:P30"/>
    <mergeCell ref="AB30:AE30"/>
    <mergeCell ref="AQ30:AT30"/>
    <mergeCell ref="BF30:BI30"/>
    <mergeCell ref="F29:H29"/>
    <mergeCell ref="M29:P29"/>
    <mergeCell ref="U29:W29"/>
    <mergeCell ref="AB29:AE29"/>
    <mergeCell ref="AJ29:AL29"/>
    <mergeCell ref="AQ29:AT29"/>
    <mergeCell ref="AY29:BA29"/>
    <mergeCell ref="BF29:BI29"/>
    <mergeCell ref="M20:P20"/>
    <mergeCell ref="M33:P33"/>
    <mergeCell ref="AB33:AE33"/>
    <mergeCell ref="F55:H55"/>
    <mergeCell ref="M18:P18"/>
    <mergeCell ref="AB18:AE18"/>
    <mergeCell ref="AQ18:AT18"/>
    <mergeCell ref="M21:P21"/>
    <mergeCell ref="F65:H65"/>
    <mergeCell ref="AY65:BA65"/>
    <mergeCell ref="BN65:BP65"/>
    <mergeCell ref="BU41:BX41"/>
    <mergeCell ref="F53:H53"/>
    <mergeCell ref="M53:P53"/>
    <mergeCell ref="U53:W53"/>
    <mergeCell ref="AB53:AE53"/>
    <mergeCell ref="AJ53:AL53"/>
    <mergeCell ref="AQ53:AT53"/>
    <mergeCell ref="AY53:BA53"/>
    <mergeCell ref="BF53:BI53"/>
    <mergeCell ref="BN53:BP53"/>
    <mergeCell ref="BU53:BX53"/>
    <mergeCell ref="F41:H41"/>
    <mergeCell ref="M41:P41"/>
    <mergeCell ref="U41:W41"/>
    <mergeCell ref="AB41:AE41"/>
    <mergeCell ref="AJ41:AL41"/>
  </mergeCells>
  <dataValidations count="13">
    <dataValidation type="list" allowBlank="1" showInputMessage="1" showErrorMessage="1" sqref="BK21" xr:uid="{00000000-0002-0000-0100-000001000000}">
      <formula1>$CC$20:$CC$23</formula1>
    </dataValidation>
    <dataValidation type="list" allowBlank="1" showInputMessage="1" showErrorMessage="1" sqref="AV21" xr:uid="{00000000-0002-0000-0100-000002000000}">
      <formula1>$CG$21:$CG$24</formula1>
    </dataValidation>
    <dataValidation type="list" allowBlank="1" showInputMessage="1" showErrorMessage="1" sqref="AV20" xr:uid="{00000000-0002-0000-0100-000003000000}">
      <formula1>$CG$26:$CG$28</formula1>
    </dataValidation>
    <dataValidation type="list" allowBlank="1" showInputMessage="1" showErrorMessage="1" sqref="C20" xr:uid="{00000000-0002-0000-0100-000004000000}">
      <formula1>$CE$20:$CE$23</formula1>
    </dataValidation>
    <dataValidation type="list" allowBlank="1" showInputMessage="1" showErrorMessage="1" sqref="AG20" xr:uid="{00000000-0002-0000-0100-000005000000}">
      <formula1>$CE$17:$CE$19</formula1>
    </dataValidation>
    <dataValidation type="list" allowBlank="1" showInputMessage="1" showErrorMessage="1" sqref="R21" xr:uid="{00000000-0002-0000-0100-000006000000}">
      <formula1>$CC$20:$CC$25</formula1>
    </dataValidation>
    <dataValidation type="list" allowBlank="1" showInputMessage="1" showErrorMessage="1" sqref="R20" xr:uid="{00000000-0002-0000-0100-000007000000}">
      <formula1>$CC$17:$CC$19</formula1>
    </dataValidation>
    <dataValidation type="list" allowBlank="1" showInputMessage="1" showErrorMessage="1" sqref="C22" xr:uid="{00000000-0002-0000-0100-000008000000}">
      <formula1>$CA$25:$CA$27</formula1>
    </dataValidation>
    <dataValidation type="list" allowBlank="1" showInputMessage="1" showErrorMessage="1" sqref="C21" xr:uid="{00000000-0002-0000-0100-000009000000}">
      <formula1>$CA$20:$CA$24</formula1>
    </dataValidation>
    <dataValidation type="list" allowBlank="1" showInputMessage="1" showErrorMessage="1" sqref="AG21" xr:uid="{00000000-0002-0000-0100-00000A000000}">
      <formula1>$CA$17:$CA$19</formula1>
    </dataValidation>
    <dataValidation type="list" allowBlank="1" showInputMessage="1" showErrorMessage="1" sqref="AV32" xr:uid="{00000000-0002-0000-0100-00000B000000}">
      <formula1>$CG$17:$CG$20</formula1>
    </dataValidation>
    <dataValidation type="list" allowBlank="1" showInputMessage="1" showErrorMessage="1" sqref="BK22" xr:uid="{2E2A0266-F2E3-4379-80B0-6C7426A05ECC}">
      <formula1>$CA$29:$CA$32</formula1>
    </dataValidation>
    <dataValidation type="list" allowBlank="1" showInputMessage="1" showErrorMessage="1" sqref="R22 BK23" xr:uid="{00000000-0002-0000-0100-000000000000}">
      <formula1>$CC$26:$CC$30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C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8A0000"/>
  </sheetPr>
  <dimension ref="B1:CG78"/>
  <sheetViews>
    <sheetView showGridLines="0" zoomScale="70" zoomScaleNormal="70" workbookViewId="0">
      <selection activeCell="C4" sqref="C4"/>
    </sheetView>
  </sheetViews>
  <sheetFormatPr baseColWidth="10" defaultRowHeight="14.4" x14ac:dyDescent="0.3"/>
  <cols>
    <col min="1" max="2" width="5.6640625" customWidth="1"/>
    <col min="3" max="3" width="32.44140625" bestFit="1" customWidth="1"/>
    <col min="4" max="4" width="12.44140625" customWidth="1"/>
    <col min="5" max="5" width="20.6640625" bestFit="1" customWidth="1"/>
    <col min="6" max="6" width="12.44140625" style="46" customWidth="1"/>
    <col min="7" max="7" width="22.44140625" bestFit="1" customWidth="1"/>
    <col min="8" max="8" width="12.44140625" style="51" customWidth="1"/>
    <col min="9" max="9" width="12.44140625" customWidth="1"/>
    <col min="10" max="10" width="24.5546875" customWidth="1"/>
    <col min="11" max="11" width="22.88671875" bestFit="1" customWidth="1"/>
    <col min="12" max="12" width="22.88671875" style="127" customWidth="1"/>
    <col min="13" max="16" width="11.44140625" customWidth="1"/>
    <col min="17" max="17" width="5.6640625" style="25" customWidth="1"/>
    <col min="18" max="18" width="34.33203125" style="25" bestFit="1" customWidth="1"/>
    <col min="19" max="20" width="12.44140625" style="25" customWidth="1"/>
    <col min="21" max="21" width="12.44140625" style="73" customWidth="1"/>
    <col min="22" max="22" width="12.44140625" style="25" customWidth="1"/>
    <col min="23" max="23" width="12.44140625" style="73" customWidth="1"/>
    <col min="24" max="24" width="12.44140625" style="25" customWidth="1"/>
    <col min="25" max="25" width="24.5546875" style="25" customWidth="1"/>
    <col min="26" max="26" width="22.88671875" style="25" bestFit="1" customWidth="1"/>
    <col min="27" max="27" width="22.88671875" style="25" customWidth="1"/>
    <col min="28" max="31" width="11.44140625" style="25" customWidth="1"/>
    <col min="32" max="32" width="5.6640625" style="25" customWidth="1"/>
    <col min="33" max="33" width="25.5546875" style="25" bestFit="1" customWidth="1"/>
    <col min="34" max="35" width="12.44140625" style="25" customWidth="1"/>
    <col min="36" max="36" width="12.44140625" style="54" customWidth="1"/>
    <col min="37" max="37" width="12.44140625" style="25" customWidth="1"/>
    <col min="38" max="38" width="12.44140625" style="55" customWidth="1"/>
    <col min="39" max="39" width="12.44140625" style="25" customWidth="1"/>
    <col min="40" max="40" width="24.5546875" style="25" customWidth="1"/>
    <col min="41" max="41" width="22.88671875" style="25" bestFit="1" customWidth="1"/>
    <col min="42" max="42" width="22.88671875" style="25" customWidth="1"/>
    <col min="43" max="46" width="11.44140625" style="25" customWidth="1"/>
    <col min="47" max="47" width="5.6640625" style="25" customWidth="1"/>
    <col min="48" max="48" width="32.44140625" style="25" bestFit="1" customWidth="1"/>
    <col min="49" max="50" width="12.44140625" style="25" customWidth="1"/>
    <col min="51" max="51" width="12.44140625" style="54" customWidth="1"/>
    <col min="52" max="52" width="12.44140625" style="25" customWidth="1"/>
    <col min="53" max="53" width="12.44140625" style="55" customWidth="1"/>
    <col min="54" max="54" width="12.44140625" style="25" customWidth="1"/>
    <col min="55" max="55" width="24.5546875" style="25" customWidth="1"/>
    <col min="56" max="56" width="22.88671875" style="25" bestFit="1" customWidth="1"/>
    <col min="57" max="57" width="22.88671875" style="25" customWidth="1"/>
    <col min="58" max="61" width="11.44140625" style="25" customWidth="1"/>
    <col min="62" max="62" width="5.6640625" style="25" customWidth="1"/>
    <col min="63" max="63" width="34.33203125" style="25" bestFit="1" customWidth="1"/>
    <col min="64" max="65" width="12.44140625" style="25" customWidth="1"/>
    <col min="66" max="66" width="12.44140625" style="54" customWidth="1"/>
    <col min="67" max="67" width="12.44140625" style="25" customWidth="1"/>
    <col min="68" max="68" width="12.44140625" style="55" customWidth="1"/>
    <col min="69" max="69" width="12.44140625" style="25" customWidth="1"/>
    <col min="70" max="70" width="24.5546875" style="25" customWidth="1"/>
    <col min="71" max="71" width="22.88671875" bestFit="1" customWidth="1"/>
    <col min="72" max="72" width="22.88671875" style="127" customWidth="1"/>
    <col min="73" max="76" width="11.44140625" customWidth="1"/>
    <col min="79" max="79" width="22" style="30" hidden="1" customWidth="1"/>
    <col min="80" max="80" width="11.44140625" style="30" hidden="1" customWidth="1"/>
    <col min="81" max="81" width="20" style="30" hidden="1" customWidth="1"/>
    <col min="82" max="82" width="11.44140625" style="30" hidden="1" customWidth="1"/>
    <col min="83" max="83" width="24.6640625" style="30" hidden="1" customWidth="1"/>
    <col min="84" max="84" width="11.44140625" style="30" hidden="1" customWidth="1"/>
    <col min="85" max="85" width="19" style="30" hidden="1" customWidth="1"/>
    <col min="86" max="86" width="11.44140625" customWidth="1"/>
  </cols>
  <sheetData>
    <row r="1" spans="2:16" ht="15.6" customHeight="1" x14ac:dyDescent="0.3"/>
    <row r="2" spans="2:16" ht="20.399999999999999" customHeight="1" thickBot="1" x14ac:dyDescent="0.35">
      <c r="C2" s="1"/>
      <c r="D2" s="1"/>
      <c r="E2" s="1"/>
      <c r="F2" s="47"/>
      <c r="G2" s="1"/>
      <c r="H2" s="50"/>
      <c r="I2" s="1"/>
      <c r="J2" s="1"/>
      <c r="K2" s="1"/>
      <c r="L2" s="1"/>
      <c r="M2" s="1"/>
      <c r="N2" s="1"/>
      <c r="O2" s="1"/>
      <c r="P2" s="1"/>
    </row>
    <row r="3" spans="2:16" ht="21" customHeight="1" thickBot="1" x14ac:dyDescent="0.35">
      <c r="B3" s="114"/>
      <c r="C3" s="115"/>
      <c r="D3" s="115"/>
      <c r="E3" s="115"/>
      <c r="F3" s="116"/>
      <c r="G3" s="115"/>
      <c r="H3" s="117"/>
      <c r="I3" s="118"/>
    </row>
    <row r="4" spans="2:16" ht="18.600000000000001" thickBot="1" x14ac:dyDescent="0.4">
      <c r="B4" s="119"/>
      <c r="C4" s="132" t="s">
        <v>65</v>
      </c>
      <c r="D4" s="106"/>
      <c r="E4" s="106"/>
      <c r="F4" s="47"/>
      <c r="G4" s="1"/>
      <c r="H4" s="50"/>
      <c r="I4" s="120"/>
    </row>
    <row r="5" spans="2:16" ht="15.6" x14ac:dyDescent="0.3">
      <c r="B5" s="119"/>
      <c r="C5" s="163" t="s">
        <v>56</v>
      </c>
      <c r="D5" s="107" t="s">
        <v>57</v>
      </c>
      <c r="E5" s="126" t="s">
        <v>5</v>
      </c>
      <c r="F5" s="47"/>
      <c r="G5" s="1"/>
      <c r="H5" s="50"/>
      <c r="I5" s="120"/>
    </row>
    <row r="6" spans="2:16" ht="15" thickBot="1" x14ac:dyDescent="0.35">
      <c r="B6" s="119"/>
      <c r="C6" s="164">
        <v>0</v>
      </c>
      <c r="D6" s="3">
        <v>0</v>
      </c>
      <c r="E6" s="134">
        <f>(C6*D6*0.0333)+D6</f>
        <v>0</v>
      </c>
      <c r="F6" s="47"/>
      <c r="G6" s="1"/>
      <c r="H6" s="50"/>
      <c r="I6" s="120"/>
    </row>
    <row r="7" spans="2:16" x14ac:dyDescent="0.3">
      <c r="B7" s="119"/>
      <c r="C7" s="1"/>
      <c r="D7" s="1"/>
      <c r="E7" s="1"/>
      <c r="F7" s="47"/>
      <c r="G7" s="1"/>
      <c r="H7" s="50"/>
      <c r="I7" s="120"/>
    </row>
    <row r="8" spans="2:16" ht="15" thickBot="1" x14ac:dyDescent="0.35">
      <c r="B8" s="119"/>
      <c r="C8" s="1"/>
      <c r="D8" s="1"/>
      <c r="E8" s="1"/>
      <c r="F8" s="47"/>
      <c r="G8" s="1"/>
      <c r="H8" s="50"/>
      <c r="I8" s="120"/>
      <c r="J8" s="1"/>
      <c r="K8" s="1"/>
      <c r="L8" s="1"/>
      <c r="M8" s="1"/>
      <c r="N8" s="1"/>
      <c r="O8" s="1"/>
      <c r="P8" s="1"/>
    </row>
    <row r="9" spans="2:16" ht="18.600000000000001" thickBot="1" x14ac:dyDescent="0.4">
      <c r="B9" s="119"/>
      <c r="C9" s="153" t="s">
        <v>68</v>
      </c>
      <c r="D9" s="104" t="s">
        <v>54</v>
      </c>
      <c r="E9" s="158" t="s">
        <v>69</v>
      </c>
      <c r="F9" s="104" t="s">
        <v>54</v>
      </c>
      <c r="G9" s="158" t="s">
        <v>70</v>
      </c>
      <c r="H9" s="105" t="s">
        <v>54</v>
      </c>
      <c r="I9" s="120"/>
      <c r="J9" s="1"/>
      <c r="K9" s="41" t="s">
        <v>5</v>
      </c>
      <c r="L9" s="41"/>
      <c r="M9" s="1"/>
      <c r="N9" s="1"/>
      <c r="O9" s="1"/>
      <c r="P9" s="1"/>
    </row>
    <row r="10" spans="2:16" ht="15.6" x14ac:dyDescent="0.3">
      <c r="B10" s="119"/>
      <c r="C10" s="154" t="s">
        <v>95</v>
      </c>
      <c r="D10" s="108">
        <f>'Block 2'!J52</f>
        <v>0</v>
      </c>
      <c r="E10" s="159" t="s">
        <v>97</v>
      </c>
      <c r="F10" s="108">
        <f>'Block 2'!BR52</f>
        <v>0</v>
      </c>
      <c r="G10" s="159" t="s">
        <v>98</v>
      </c>
      <c r="H10" s="109">
        <f>'Block 2'!AN52</f>
        <v>0</v>
      </c>
      <c r="I10" s="120"/>
      <c r="J10" s="1"/>
      <c r="K10" s="42"/>
      <c r="L10" s="42"/>
      <c r="M10" s="2"/>
      <c r="N10" s="2"/>
      <c r="O10" s="1"/>
      <c r="P10" s="1"/>
    </row>
    <row r="11" spans="2:16" ht="15.6" x14ac:dyDescent="0.3">
      <c r="B11" s="119"/>
      <c r="C11" s="155" t="s">
        <v>74</v>
      </c>
      <c r="D11" s="110">
        <f>D10*0.9</f>
        <v>0</v>
      </c>
      <c r="E11" s="160" t="s">
        <v>84</v>
      </c>
      <c r="F11" s="110">
        <f>F10*0.925</f>
        <v>0</v>
      </c>
      <c r="G11" s="160" t="s">
        <v>102</v>
      </c>
      <c r="H11" s="111">
        <f>0.93*H10</f>
        <v>0</v>
      </c>
      <c r="I11" s="120"/>
      <c r="M11" s="2"/>
      <c r="N11" s="2"/>
      <c r="O11" s="1"/>
      <c r="P11" s="1"/>
    </row>
    <row r="12" spans="2:16" ht="15.6" x14ac:dyDescent="0.3">
      <c r="B12" s="119"/>
      <c r="C12" s="156" t="s">
        <v>75</v>
      </c>
      <c r="D12" s="108">
        <f>D10*0.85</f>
        <v>0</v>
      </c>
      <c r="E12" s="161" t="s">
        <v>85</v>
      </c>
      <c r="F12" s="108">
        <f>F10*0.9</f>
        <v>0</v>
      </c>
      <c r="G12" s="161" t="s">
        <v>101</v>
      </c>
      <c r="H12" s="109">
        <f>0.85*H10</f>
        <v>0</v>
      </c>
      <c r="I12" s="120"/>
      <c r="M12" s="1"/>
      <c r="N12" s="1"/>
      <c r="O12" s="1"/>
      <c r="P12" s="1"/>
    </row>
    <row r="13" spans="2:16" ht="16.2" thickBot="1" x14ac:dyDescent="0.35">
      <c r="B13" s="119"/>
      <c r="C13" s="157" t="s">
        <v>99</v>
      </c>
      <c r="D13" s="112">
        <f>D10*0.875</f>
        <v>0</v>
      </c>
      <c r="E13" s="162" t="s">
        <v>100</v>
      </c>
      <c r="F13" s="112">
        <f>0.9*F10</f>
        <v>0</v>
      </c>
      <c r="G13" s="162" t="s">
        <v>104</v>
      </c>
      <c r="H13" s="113" t="s">
        <v>3</v>
      </c>
      <c r="I13" s="120"/>
      <c r="K13" s="1"/>
      <c r="L13" s="1"/>
      <c r="M13" s="1"/>
      <c r="N13" s="1"/>
      <c r="O13" s="1"/>
      <c r="P13" s="1"/>
    </row>
    <row r="14" spans="2:16" ht="24" customHeight="1" thickBot="1" x14ac:dyDescent="0.35">
      <c r="B14" s="121"/>
      <c r="C14" s="122"/>
      <c r="D14" s="122"/>
      <c r="E14" s="122"/>
      <c r="F14" s="123"/>
      <c r="G14" s="122"/>
      <c r="H14" s="124"/>
      <c r="I14" s="125"/>
      <c r="J14" s="1"/>
      <c r="K14" s="1"/>
      <c r="L14" s="1"/>
      <c r="M14" s="1"/>
      <c r="N14" s="1"/>
      <c r="O14" s="1"/>
      <c r="P14" s="1"/>
    </row>
    <row r="15" spans="2:16" ht="42.6" customHeight="1" thickBot="1" x14ac:dyDescent="0.35">
      <c r="C15" s="1"/>
      <c r="D15" s="1"/>
      <c r="E15" s="1"/>
      <c r="F15" s="47"/>
      <c r="G15" s="1"/>
      <c r="H15" s="50"/>
      <c r="I15" s="1"/>
      <c r="J15" s="1"/>
      <c r="K15" s="1"/>
      <c r="L15" s="1"/>
      <c r="M15" s="1"/>
      <c r="N15" s="1"/>
      <c r="O15" s="1"/>
      <c r="P15" s="1"/>
    </row>
    <row r="16" spans="2:16" ht="24" thickBot="1" x14ac:dyDescent="0.35">
      <c r="B16" s="127"/>
      <c r="C16" s="131" t="s">
        <v>11</v>
      </c>
      <c r="D16" s="1"/>
      <c r="E16" s="1"/>
      <c r="F16" s="47"/>
      <c r="G16" s="1"/>
      <c r="H16" s="50"/>
      <c r="I16" s="1"/>
      <c r="J16" s="1"/>
      <c r="K16" s="1"/>
      <c r="L16" s="1"/>
      <c r="M16" s="1"/>
      <c r="N16" s="1"/>
      <c r="O16" s="1"/>
      <c r="P16" s="1"/>
    </row>
    <row r="17" spans="3:85" ht="18.600000000000001" thickBot="1" x14ac:dyDescent="0.4">
      <c r="C17" s="130" t="s">
        <v>106</v>
      </c>
      <c r="D17" s="219" t="s">
        <v>136</v>
      </c>
      <c r="E17" s="219" t="s">
        <v>56</v>
      </c>
      <c r="F17" s="235" t="s">
        <v>29</v>
      </c>
      <c r="G17" s="235"/>
      <c r="H17" s="241"/>
      <c r="I17" s="219" t="s">
        <v>7</v>
      </c>
      <c r="J17" s="219" t="s">
        <v>137</v>
      </c>
      <c r="K17" s="219" t="s">
        <v>10</v>
      </c>
      <c r="L17" s="218" t="s">
        <v>66</v>
      </c>
      <c r="M17" s="234" t="s">
        <v>9</v>
      </c>
      <c r="N17" s="235"/>
      <c r="O17" s="235"/>
      <c r="P17" s="236"/>
      <c r="Q17" s="26"/>
      <c r="R17" s="100" t="s">
        <v>113</v>
      </c>
      <c r="S17" s="219" t="s">
        <v>136</v>
      </c>
      <c r="T17" s="219" t="s">
        <v>56</v>
      </c>
      <c r="U17" s="235" t="s">
        <v>29</v>
      </c>
      <c r="V17" s="235"/>
      <c r="W17" s="241"/>
      <c r="X17" s="219" t="s">
        <v>7</v>
      </c>
      <c r="Y17" s="219" t="s">
        <v>137</v>
      </c>
      <c r="Z17" s="219" t="s">
        <v>10</v>
      </c>
      <c r="AA17" s="218" t="s">
        <v>66</v>
      </c>
      <c r="AB17" s="234" t="s">
        <v>9</v>
      </c>
      <c r="AC17" s="235"/>
      <c r="AD17" s="235"/>
      <c r="AE17" s="236"/>
      <c r="AF17" s="26"/>
      <c r="AG17" s="100" t="s">
        <v>114</v>
      </c>
      <c r="AH17" s="219" t="s">
        <v>136</v>
      </c>
      <c r="AI17" s="219" t="s">
        <v>56</v>
      </c>
      <c r="AJ17" s="235" t="s">
        <v>29</v>
      </c>
      <c r="AK17" s="235"/>
      <c r="AL17" s="241"/>
      <c r="AM17" s="219" t="s">
        <v>7</v>
      </c>
      <c r="AN17" s="219" t="s">
        <v>137</v>
      </c>
      <c r="AO17" s="219" t="s">
        <v>10</v>
      </c>
      <c r="AP17" s="218" t="s">
        <v>66</v>
      </c>
      <c r="AQ17" s="234" t="s">
        <v>9</v>
      </c>
      <c r="AR17" s="235"/>
      <c r="AS17" s="235"/>
      <c r="AT17" s="236"/>
      <c r="AU17" s="26"/>
      <c r="AV17" s="100" t="s">
        <v>115</v>
      </c>
      <c r="AW17" s="219" t="s">
        <v>136</v>
      </c>
      <c r="AX17" s="219" t="s">
        <v>56</v>
      </c>
      <c r="AY17" s="235" t="s">
        <v>29</v>
      </c>
      <c r="AZ17" s="235"/>
      <c r="BA17" s="241"/>
      <c r="BB17" s="219" t="s">
        <v>7</v>
      </c>
      <c r="BC17" s="219" t="s">
        <v>137</v>
      </c>
      <c r="BD17" s="219" t="s">
        <v>10</v>
      </c>
      <c r="BE17" s="218" t="s">
        <v>66</v>
      </c>
      <c r="BF17" s="234" t="s">
        <v>9</v>
      </c>
      <c r="BG17" s="235"/>
      <c r="BH17" s="235"/>
      <c r="BI17" s="236"/>
      <c r="BJ17" s="29"/>
      <c r="BK17" s="190" t="s">
        <v>116</v>
      </c>
      <c r="BL17" s="191" t="s">
        <v>6</v>
      </c>
      <c r="BM17" s="192" t="s">
        <v>4</v>
      </c>
      <c r="BN17" s="249" t="s">
        <v>29</v>
      </c>
      <c r="BO17" s="250"/>
      <c r="BP17" s="251"/>
      <c r="BQ17" s="191" t="s">
        <v>7</v>
      </c>
      <c r="BR17" s="191" t="s">
        <v>8</v>
      </c>
      <c r="BS17" s="191" t="s">
        <v>10</v>
      </c>
      <c r="BT17" s="192" t="s">
        <v>66</v>
      </c>
      <c r="BU17" s="249" t="s">
        <v>9</v>
      </c>
      <c r="BV17" s="250"/>
      <c r="BW17" s="250"/>
      <c r="BX17" s="252"/>
      <c r="CA17" s="152" t="s">
        <v>82</v>
      </c>
      <c r="CB17" s="152"/>
      <c r="CC17" s="152" t="s">
        <v>17</v>
      </c>
      <c r="CD17" s="152"/>
      <c r="CE17" s="152" t="s">
        <v>81</v>
      </c>
      <c r="CF17" s="152"/>
      <c r="CG17" s="152" t="s">
        <v>83</v>
      </c>
    </row>
    <row r="18" spans="3:85" ht="15.6" x14ac:dyDescent="0.3">
      <c r="C18" s="7" t="s">
        <v>95</v>
      </c>
      <c r="D18" s="8">
        <v>1</v>
      </c>
      <c r="E18" s="8">
        <v>1</v>
      </c>
      <c r="F18" s="33">
        <f>(0.86*D10)-5</f>
        <v>-5</v>
      </c>
      <c r="G18" s="5" t="s">
        <v>3</v>
      </c>
      <c r="H18" s="34">
        <f>(0.86*D10)+5</f>
        <v>5</v>
      </c>
      <c r="I18" s="35">
        <v>7</v>
      </c>
      <c r="J18" s="8" t="s">
        <v>61</v>
      </c>
      <c r="K18" s="8"/>
      <c r="L18" s="185"/>
      <c r="M18" s="237"/>
      <c r="N18" s="238"/>
      <c r="O18" s="238"/>
      <c r="P18" s="239"/>
      <c r="Q18" s="27"/>
      <c r="R18" s="7" t="s">
        <v>97</v>
      </c>
      <c r="S18" s="8">
        <v>1</v>
      </c>
      <c r="T18" s="8">
        <v>1</v>
      </c>
      <c r="U18" s="36">
        <f>(0.86*F10)-5</f>
        <v>-5</v>
      </c>
      <c r="V18" s="5" t="s">
        <v>3</v>
      </c>
      <c r="W18" s="34">
        <f>(0.86*F10)+5</f>
        <v>5</v>
      </c>
      <c r="X18" s="35">
        <v>7</v>
      </c>
      <c r="Y18" s="8" t="s">
        <v>62</v>
      </c>
      <c r="Z18" s="8"/>
      <c r="AA18" s="185"/>
      <c r="AB18" s="237"/>
      <c r="AC18" s="238"/>
      <c r="AD18" s="238"/>
      <c r="AE18" s="239"/>
      <c r="AF18" s="27"/>
      <c r="AG18" s="7" t="s">
        <v>98</v>
      </c>
      <c r="AH18" s="8">
        <v>1</v>
      </c>
      <c r="AI18" s="8">
        <v>1</v>
      </c>
      <c r="AJ18" s="33">
        <f>(0.86*H10)-5</f>
        <v>-5</v>
      </c>
      <c r="AK18" s="5" t="s">
        <v>3</v>
      </c>
      <c r="AL18" s="34">
        <f>(0.86*H10)+5</f>
        <v>5</v>
      </c>
      <c r="AM18" s="35">
        <v>7</v>
      </c>
      <c r="AN18" s="8" t="s">
        <v>40</v>
      </c>
      <c r="AO18" s="8"/>
      <c r="AP18" s="185"/>
      <c r="AQ18" s="237"/>
      <c r="AR18" s="238"/>
      <c r="AS18" s="238"/>
      <c r="AT18" s="239"/>
      <c r="AU18" s="27"/>
      <c r="AV18" s="7" t="s">
        <v>95</v>
      </c>
      <c r="AW18" s="8">
        <v>5</v>
      </c>
      <c r="AX18" s="8">
        <v>3</v>
      </c>
      <c r="AY18" s="33">
        <f>(0.8*D10)-5</f>
        <v>-5</v>
      </c>
      <c r="AZ18" s="5" t="s">
        <v>3</v>
      </c>
      <c r="BA18" s="34">
        <f>(0.8*D10)+5</f>
        <v>5</v>
      </c>
      <c r="BB18" s="35">
        <v>7</v>
      </c>
      <c r="BC18" s="8" t="s">
        <v>61</v>
      </c>
      <c r="BD18" s="8"/>
      <c r="BE18" s="185"/>
      <c r="BF18" s="237"/>
      <c r="BG18" s="238"/>
      <c r="BH18" s="238"/>
      <c r="BI18" s="239"/>
      <c r="BJ18" s="28"/>
      <c r="BK18" s="193" t="s">
        <v>97</v>
      </c>
      <c r="BL18" s="8">
        <v>3</v>
      </c>
      <c r="BM18" s="8">
        <v>3</v>
      </c>
      <c r="BN18" s="33">
        <f>(0.8*F10)-5</f>
        <v>-5</v>
      </c>
      <c r="BO18" s="5" t="s">
        <v>3</v>
      </c>
      <c r="BP18" s="34">
        <f>(0.8*F10)+5</f>
        <v>5</v>
      </c>
      <c r="BQ18" s="35">
        <v>7</v>
      </c>
      <c r="BR18" s="8" t="s">
        <v>62</v>
      </c>
      <c r="BS18" s="8"/>
      <c r="BT18" s="185"/>
      <c r="BU18" s="237"/>
      <c r="BV18" s="238"/>
      <c r="BW18" s="238"/>
      <c r="BX18" s="240"/>
      <c r="CA18" s="152" t="s">
        <v>74</v>
      </c>
      <c r="CB18" s="152"/>
      <c r="CC18" s="152" t="s">
        <v>18</v>
      </c>
      <c r="CD18" s="152"/>
      <c r="CE18" s="152" t="s">
        <v>84</v>
      </c>
      <c r="CF18" s="152"/>
      <c r="CG18" s="152" t="s">
        <v>87</v>
      </c>
    </row>
    <row r="19" spans="3:85" ht="16.2" thickBot="1" x14ac:dyDescent="0.35">
      <c r="C19" s="7" t="s">
        <v>95</v>
      </c>
      <c r="D19" s="8">
        <v>3</v>
      </c>
      <c r="E19" s="8">
        <v>5</v>
      </c>
      <c r="F19" s="33">
        <f>(0.77*D10)-5</f>
        <v>-5</v>
      </c>
      <c r="G19" s="5" t="s">
        <v>3</v>
      </c>
      <c r="H19" s="34">
        <f>(0.77*D10)+5</f>
        <v>5</v>
      </c>
      <c r="I19" s="35">
        <v>7</v>
      </c>
      <c r="J19" s="8" t="s">
        <v>61</v>
      </c>
      <c r="K19" s="8"/>
      <c r="L19" s="185"/>
      <c r="M19" s="56"/>
      <c r="N19" s="57"/>
      <c r="O19" s="57"/>
      <c r="P19" s="58"/>
      <c r="Q19" s="27"/>
      <c r="R19" s="7" t="s">
        <v>97</v>
      </c>
      <c r="S19" s="8">
        <v>3</v>
      </c>
      <c r="T19" s="8">
        <v>5</v>
      </c>
      <c r="U19" s="36">
        <f>(0.75*F10)-5</f>
        <v>-5</v>
      </c>
      <c r="V19" s="5" t="s">
        <v>3</v>
      </c>
      <c r="W19" s="34">
        <f>(0.75*F10)+5</f>
        <v>5</v>
      </c>
      <c r="X19" s="35">
        <v>7</v>
      </c>
      <c r="Y19" s="8" t="s">
        <v>62</v>
      </c>
      <c r="Z19" s="8"/>
      <c r="AA19" s="185"/>
      <c r="AB19" s="56"/>
      <c r="AC19" s="57"/>
      <c r="AD19" s="57"/>
      <c r="AE19" s="58"/>
      <c r="AF19" s="27"/>
      <c r="AG19" s="7" t="s">
        <v>98</v>
      </c>
      <c r="AH19" s="8">
        <v>3</v>
      </c>
      <c r="AI19" s="8">
        <v>3</v>
      </c>
      <c r="AJ19" s="33">
        <f>(0.81*H10)-5</f>
        <v>-5</v>
      </c>
      <c r="AK19" s="5" t="s">
        <v>3</v>
      </c>
      <c r="AL19" s="34">
        <f>(0.81*H10)+5</f>
        <v>5</v>
      </c>
      <c r="AM19" s="35">
        <v>7</v>
      </c>
      <c r="AN19" s="8" t="s">
        <v>40</v>
      </c>
      <c r="AO19" s="8"/>
      <c r="AP19" s="185"/>
      <c r="AQ19" s="56"/>
      <c r="AR19" s="57"/>
      <c r="AS19" s="57"/>
      <c r="AT19" s="58"/>
      <c r="AU19" s="27"/>
      <c r="AV19" s="7"/>
      <c r="AW19" s="8"/>
      <c r="AX19" s="8"/>
      <c r="AY19" s="33"/>
      <c r="AZ19" s="5" t="s">
        <v>3</v>
      </c>
      <c r="BA19" s="34"/>
      <c r="BB19" s="35"/>
      <c r="BC19" s="8"/>
      <c r="BD19" s="8"/>
      <c r="BE19" s="185"/>
      <c r="BF19" s="56"/>
      <c r="BG19" s="57"/>
      <c r="BH19" s="57"/>
      <c r="BI19" s="58"/>
      <c r="BJ19" s="28"/>
      <c r="BK19" s="193"/>
      <c r="BL19" s="8"/>
      <c r="BM19" s="8"/>
      <c r="BN19" s="33"/>
      <c r="BO19" s="5" t="s">
        <v>3</v>
      </c>
      <c r="BP19" s="34"/>
      <c r="BQ19" s="35"/>
      <c r="BR19" s="8"/>
      <c r="BS19" s="8"/>
      <c r="BT19" s="185"/>
      <c r="BU19" s="166"/>
      <c r="BV19" s="167"/>
      <c r="BW19" s="167"/>
      <c r="BX19" s="203"/>
      <c r="CA19" s="152" t="s">
        <v>75</v>
      </c>
      <c r="CB19" s="152"/>
      <c r="CC19" s="152" t="s">
        <v>19</v>
      </c>
      <c r="CD19" s="152"/>
      <c r="CE19" s="152" t="s">
        <v>85</v>
      </c>
      <c r="CF19" s="152"/>
      <c r="CG19" s="152" t="s">
        <v>88</v>
      </c>
    </row>
    <row r="20" spans="3:85" ht="16.2" thickBot="1" x14ac:dyDescent="0.35">
      <c r="C20" s="53" t="s">
        <v>86</v>
      </c>
      <c r="D20" s="10">
        <v>2</v>
      </c>
      <c r="E20" s="10">
        <v>8</v>
      </c>
      <c r="F20" s="48"/>
      <c r="G20" s="4" t="s">
        <v>3</v>
      </c>
      <c r="H20" s="39"/>
      <c r="I20" s="32" t="s">
        <v>30</v>
      </c>
      <c r="J20" s="10"/>
      <c r="K20" s="10"/>
      <c r="L20" s="186"/>
      <c r="M20" s="230"/>
      <c r="N20" s="231"/>
      <c r="O20" s="231"/>
      <c r="P20" s="232"/>
      <c r="Q20" s="27"/>
      <c r="R20" s="79" t="s">
        <v>17</v>
      </c>
      <c r="S20" s="10">
        <v>3</v>
      </c>
      <c r="T20" s="32" t="s">
        <v>35</v>
      </c>
      <c r="U20" s="37"/>
      <c r="V20" s="4" t="s">
        <v>3</v>
      </c>
      <c r="W20" s="39"/>
      <c r="X20" s="32" t="s">
        <v>30</v>
      </c>
      <c r="Y20" s="10"/>
      <c r="Z20" s="10"/>
      <c r="AA20" s="186"/>
      <c r="AB20" s="230"/>
      <c r="AC20" s="231"/>
      <c r="AD20" s="231"/>
      <c r="AE20" s="232"/>
      <c r="AF20" s="27"/>
      <c r="AG20" s="92" t="s">
        <v>84</v>
      </c>
      <c r="AH20" s="93">
        <v>3</v>
      </c>
      <c r="AI20" s="10">
        <v>3</v>
      </c>
      <c r="AJ20" s="48">
        <f>(0.77*F11)-5</f>
        <v>-5</v>
      </c>
      <c r="AK20" s="4" t="s">
        <v>3</v>
      </c>
      <c r="AL20" s="39">
        <f>(0.77*F11)+5</f>
        <v>5</v>
      </c>
      <c r="AM20" s="32">
        <v>6</v>
      </c>
      <c r="AN20" s="10" t="s">
        <v>62</v>
      </c>
      <c r="AO20" s="10"/>
      <c r="AP20" s="186"/>
      <c r="AQ20" s="230"/>
      <c r="AR20" s="231"/>
      <c r="AS20" s="231"/>
      <c r="AT20" s="232"/>
      <c r="AU20" s="27"/>
      <c r="AV20" s="79" t="s">
        <v>83</v>
      </c>
      <c r="AW20" s="10">
        <v>3</v>
      </c>
      <c r="AX20" s="10">
        <v>5</v>
      </c>
      <c r="AY20" s="48">
        <f>IF(AV20="1ct. WK-Kreuzheben",((0.75*H12)-5),((0.75*H11)-5))</f>
        <v>-5</v>
      </c>
      <c r="AZ20" s="4" t="s">
        <v>3</v>
      </c>
      <c r="BA20" s="39">
        <f>IF(AV20="1ct. WK-Kreuzheben",((0.75*H12)+5),((0.75*H11)+5))</f>
        <v>5</v>
      </c>
      <c r="BB20" s="32">
        <v>7</v>
      </c>
      <c r="BC20" s="10" t="s">
        <v>40</v>
      </c>
      <c r="BD20" s="10"/>
      <c r="BE20" s="186"/>
      <c r="BF20" s="230"/>
      <c r="BG20" s="231"/>
      <c r="BH20" s="231"/>
      <c r="BI20" s="232"/>
      <c r="BJ20" s="28"/>
      <c r="BK20" s="194" t="s">
        <v>100</v>
      </c>
      <c r="BL20" s="10">
        <v>2</v>
      </c>
      <c r="BM20" s="10">
        <v>5</v>
      </c>
      <c r="BN20" s="48">
        <f>(0.72*F13)-5</f>
        <v>-5</v>
      </c>
      <c r="BO20" s="4" t="s">
        <v>3</v>
      </c>
      <c r="BP20" s="39">
        <f>(0.72*F13)+5</f>
        <v>5</v>
      </c>
      <c r="BQ20" s="32" t="s">
        <v>31</v>
      </c>
      <c r="BR20" s="10" t="s">
        <v>62</v>
      </c>
      <c r="BS20" s="10"/>
      <c r="BT20" s="186"/>
      <c r="BU20" s="230"/>
      <c r="BV20" s="231"/>
      <c r="BW20" s="231"/>
      <c r="BX20" s="233"/>
      <c r="CA20" s="152" t="s">
        <v>71</v>
      </c>
      <c r="CB20" s="152"/>
      <c r="CC20" s="152" t="s">
        <v>76</v>
      </c>
      <c r="CD20" s="152"/>
      <c r="CE20" s="152" t="s">
        <v>86</v>
      </c>
      <c r="CF20" s="152"/>
      <c r="CG20" s="152" t="s">
        <v>89</v>
      </c>
    </row>
    <row r="21" spans="3:85" ht="16.2" thickBot="1" x14ac:dyDescent="0.35">
      <c r="C21" s="80" t="s">
        <v>71</v>
      </c>
      <c r="D21" s="8">
        <v>3</v>
      </c>
      <c r="E21" s="31" t="s">
        <v>35</v>
      </c>
      <c r="F21" s="33"/>
      <c r="G21" s="5" t="s">
        <v>3</v>
      </c>
      <c r="H21" s="34"/>
      <c r="I21" s="35" t="s">
        <v>30</v>
      </c>
      <c r="J21" s="8"/>
      <c r="K21" s="8"/>
      <c r="L21" s="185"/>
      <c r="M21" s="226"/>
      <c r="N21" s="227"/>
      <c r="O21" s="227"/>
      <c r="P21" s="228"/>
      <c r="Q21" s="27"/>
      <c r="R21" s="80" t="s">
        <v>76</v>
      </c>
      <c r="S21" s="8">
        <v>3</v>
      </c>
      <c r="T21" s="8">
        <f>IF(OR(R21="Dips",R21="LH Schulterdrücken"),4,8)</f>
        <v>8</v>
      </c>
      <c r="U21" s="36"/>
      <c r="V21" s="5" t="s">
        <v>3</v>
      </c>
      <c r="W21" s="34"/>
      <c r="X21" s="35" t="s">
        <v>30</v>
      </c>
      <c r="Y21" s="8"/>
      <c r="Z21" s="8"/>
      <c r="AA21" s="185"/>
      <c r="AB21" s="226"/>
      <c r="AC21" s="227"/>
      <c r="AD21" s="227"/>
      <c r="AE21" s="228"/>
      <c r="AF21" s="27"/>
      <c r="AG21" s="94" t="s">
        <v>82</v>
      </c>
      <c r="AH21" s="83">
        <v>3</v>
      </c>
      <c r="AI21" s="83">
        <v>3</v>
      </c>
      <c r="AJ21" s="84">
        <f>IF(AG21="2ct. WK-Kniebeuge",(D11*0.77)-5,(D12*0.77)-5)</f>
        <v>-5</v>
      </c>
      <c r="AK21" s="85" t="s">
        <v>3</v>
      </c>
      <c r="AL21" s="86">
        <f>IF(AG21="2ct. WK-Kniebeuge",(D11*0.77)+5,(D12*0.77)+5)</f>
        <v>5</v>
      </c>
      <c r="AM21" s="87">
        <v>6</v>
      </c>
      <c r="AN21" s="83" t="s">
        <v>61</v>
      </c>
      <c r="AO21" s="83"/>
      <c r="AP21" s="188"/>
      <c r="AQ21" s="246" t="s">
        <v>32</v>
      </c>
      <c r="AR21" s="247"/>
      <c r="AS21" s="247"/>
      <c r="AT21" s="248"/>
      <c r="AU21" s="27"/>
      <c r="AV21" s="80" t="s">
        <v>17</v>
      </c>
      <c r="AW21" s="8">
        <v>3</v>
      </c>
      <c r="AX21" s="35" t="s">
        <v>35</v>
      </c>
      <c r="AY21" s="33"/>
      <c r="AZ21" s="5" t="s">
        <v>3</v>
      </c>
      <c r="BA21" s="34"/>
      <c r="BB21" s="35" t="s">
        <v>30</v>
      </c>
      <c r="BC21" s="8"/>
      <c r="BD21" s="8"/>
      <c r="BE21" s="185"/>
      <c r="BF21" s="226"/>
      <c r="BG21" s="227"/>
      <c r="BH21" s="227"/>
      <c r="BI21" s="228"/>
      <c r="BJ21" s="28"/>
      <c r="BK21" s="207" t="s">
        <v>76</v>
      </c>
      <c r="BL21" s="8">
        <v>2</v>
      </c>
      <c r="BM21" s="8" t="str">
        <f>IF(OR(BK21="Dips",BK21="Military Press"),"5","6-8")</f>
        <v>6-8</v>
      </c>
      <c r="BN21" s="33"/>
      <c r="BO21" s="5" t="s">
        <v>3</v>
      </c>
      <c r="BP21" s="34"/>
      <c r="BQ21" s="35" t="s">
        <v>30</v>
      </c>
      <c r="BR21" s="8"/>
      <c r="BS21" s="8"/>
      <c r="BT21" s="185"/>
      <c r="BU21" s="226"/>
      <c r="BV21" s="227"/>
      <c r="BW21" s="227"/>
      <c r="BX21" s="229"/>
      <c r="CA21" s="152" t="s">
        <v>59</v>
      </c>
      <c r="CB21" s="152"/>
      <c r="CC21" s="152" t="s">
        <v>0</v>
      </c>
      <c r="CD21" s="152"/>
      <c r="CE21" s="152" t="s">
        <v>25</v>
      </c>
      <c r="CF21" s="152"/>
      <c r="CG21" s="152" t="s">
        <v>17</v>
      </c>
    </row>
    <row r="22" spans="3:85" ht="16.2" thickBot="1" x14ac:dyDescent="0.35">
      <c r="C22" s="79" t="s">
        <v>1</v>
      </c>
      <c r="D22" s="10">
        <v>2</v>
      </c>
      <c r="E22" s="32">
        <v>8</v>
      </c>
      <c r="F22" s="48"/>
      <c r="G22" s="4" t="s">
        <v>3</v>
      </c>
      <c r="H22" s="39"/>
      <c r="I22" s="32" t="s">
        <v>30</v>
      </c>
      <c r="J22" s="10"/>
      <c r="K22" s="10"/>
      <c r="L22" s="186"/>
      <c r="M22" s="230"/>
      <c r="N22" s="231"/>
      <c r="O22" s="231"/>
      <c r="P22" s="232"/>
      <c r="Q22" s="27"/>
      <c r="R22" s="79" t="s">
        <v>92</v>
      </c>
      <c r="S22" s="10">
        <v>3</v>
      </c>
      <c r="T22" s="32" t="s">
        <v>41</v>
      </c>
      <c r="U22" s="37"/>
      <c r="V22" s="4" t="s">
        <v>3</v>
      </c>
      <c r="W22" s="39"/>
      <c r="X22" s="32" t="s">
        <v>30</v>
      </c>
      <c r="Y22" s="10"/>
      <c r="Z22" s="10"/>
      <c r="AA22" s="186"/>
      <c r="AB22" s="230"/>
      <c r="AC22" s="231"/>
      <c r="AD22" s="231"/>
      <c r="AE22" s="232"/>
      <c r="AF22" s="27"/>
      <c r="AG22" s="9" t="s">
        <v>21</v>
      </c>
      <c r="AH22" s="32" t="s">
        <v>37</v>
      </c>
      <c r="AI22" s="32" t="s">
        <v>38</v>
      </c>
      <c r="AJ22" s="48"/>
      <c r="AK22" s="4" t="s">
        <v>3</v>
      </c>
      <c r="AL22" s="39"/>
      <c r="AM22" s="32" t="s">
        <v>30</v>
      </c>
      <c r="AN22" s="10"/>
      <c r="AO22" s="10"/>
      <c r="AP22" s="186"/>
      <c r="AQ22" s="230"/>
      <c r="AR22" s="231"/>
      <c r="AS22" s="231"/>
      <c r="AT22" s="232"/>
      <c r="AU22" s="27"/>
      <c r="AV22" s="9" t="s">
        <v>26</v>
      </c>
      <c r="AW22" s="10">
        <v>3</v>
      </c>
      <c r="AX22" s="10">
        <v>8</v>
      </c>
      <c r="AY22" s="48"/>
      <c r="AZ22" s="4" t="s">
        <v>3</v>
      </c>
      <c r="BA22" s="39"/>
      <c r="BB22" s="32" t="s">
        <v>30</v>
      </c>
      <c r="BC22" s="10"/>
      <c r="BD22" s="10"/>
      <c r="BE22" s="186"/>
      <c r="BF22" s="230"/>
      <c r="BG22" s="231"/>
      <c r="BH22" s="231"/>
      <c r="BI22" s="232"/>
      <c r="BJ22" s="28"/>
      <c r="BK22" s="205" t="s">
        <v>71</v>
      </c>
      <c r="BL22" s="10">
        <v>3</v>
      </c>
      <c r="BM22" s="10" t="str">
        <f>IF(OR(BK22="Pendlay Rudern"),"6","6-8")</f>
        <v>6-8</v>
      </c>
      <c r="BN22" s="48"/>
      <c r="BO22" s="4" t="s">
        <v>3</v>
      </c>
      <c r="BP22" s="39"/>
      <c r="BQ22" s="32" t="s">
        <v>30</v>
      </c>
      <c r="BR22" s="10"/>
      <c r="BS22" s="10"/>
      <c r="BT22" s="186"/>
      <c r="BU22" s="230"/>
      <c r="BV22" s="231"/>
      <c r="BW22" s="231"/>
      <c r="BX22" s="233"/>
      <c r="CA22" s="152" t="s">
        <v>60</v>
      </c>
      <c r="CB22" s="152"/>
      <c r="CC22" s="152" t="s">
        <v>77</v>
      </c>
      <c r="CD22" s="152"/>
      <c r="CE22" s="152" t="s">
        <v>23</v>
      </c>
      <c r="CF22" s="152"/>
      <c r="CG22" s="152" t="s">
        <v>27</v>
      </c>
    </row>
    <row r="23" spans="3:85" ht="16.2" thickBot="1" x14ac:dyDescent="0.35">
      <c r="C23" s="7" t="s">
        <v>96</v>
      </c>
      <c r="D23" s="8">
        <v>2</v>
      </c>
      <c r="E23" s="8"/>
      <c r="F23" s="33"/>
      <c r="G23" s="5" t="s">
        <v>3</v>
      </c>
      <c r="H23" s="34"/>
      <c r="I23" s="8"/>
      <c r="J23" s="8"/>
      <c r="K23" s="8"/>
      <c r="L23" s="185"/>
      <c r="M23" s="226"/>
      <c r="N23" s="227"/>
      <c r="O23" s="227"/>
      <c r="P23" s="228"/>
      <c r="Q23" s="27"/>
      <c r="R23" s="7"/>
      <c r="S23" s="8"/>
      <c r="T23" s="8"/>
      <c r="U23" s="36"/>
      <c r="V23" s="5" t="s">
        <v>3</v>
      </c>
      <c r="W23" s="34"/>
      <c r="X23" s="8"/>
      <c r="Y23" s="8"/>
      <c r="Z23" s="8"/>
      <c r="AA23" s="185"/>
      <c r="AB23" s="226"/>
      <c r="AC23" s="227"/>
      <c r="AD23" s="227"/>
      <c r="AE23" s="228"/>
      <c r="AF23" s="27"/>
      <c r="AG23" s="7" t="s">
        <v>22</v>
      </c>
      <c r="AH23" s="35" t="s">
        <v>37</v>
      </c>
      <c r="AI23" s="35" t="s">
        <v>38</v>
      </c>
      <c r="AJ23" s="33"/>
      <c r="AK23" s="5" t="s">
        <v>3</v>
      </c>
      <c r="AL23" s="34"/>
      <c r="AM23" s="35" t="s">
        <v>30</v>
      </c>
      <c r="AN23" s="8"/>
      <c r="AO23" s="8"/>
      <c r="AP23" s="185"/>
      <c r="AQ23" s="226"/>
      <c r="AR23" s="227"/>
      <c r="AS23" s="227"/>
      <c r="AT23" s="228"/>
      <c r="AU23" s="27"/>
      <c r="AV23" s="7" t="s">
        <v>96</v>
      </c>
      <c r="AW23" s="8">
        <v>2</v>
      </c>
      <c r="AX23" s="8"/>
      <c r="AY23" s="33"/>
      <c r="AZ23" s="5" t="s">
        <v>3</v>
      </c>
      <c r="BA23" s="34"/>
      <c r="BB23" s="8"/>
      <c r="BC23" s="8"/>
      <c r="BD23" s="8"/>
      <c r="BE23" s="185"/>
      <c r="BF23" s="226"/>
      <c r="BG23" s="227"/>
      <c r="BH23" s="227"/>
      <c r="BI23" s="228"/>
      <c r="BJ23" s="28"/>
      <c r="BK23" s="206" t="s">
        <v>92</v>
      </c>
      <c r="BL23" s="8">
        <v>3</v>
      </c>
      <c r="BM23" s="35" t="s">
        <v>41</v>
      </c>
      <c r="BN23" s="33"/>
      <c r="BO23" s="5" t="s">
        <v>3</v>
      </c>
      <c r="BP23" s="34"/>
      <c r="BQ23" s="35" t="s">
        <v>30</v>
      </c>
      <c r="BR23" s="8"/>
      <c r="BS23" s="8"/>
      <c r="BT23" s="185"/>
      <c r="BU23" s="226"/>
      <c r="BV23" s="227"/>
      <c r="BW23" s="227"/>
      <c r="BX23" s="229"/>
      <c r="CA23" s="152" t="s">
        <v>72</v>
      </c>
      <c r="CB23" s="152"/>
      <c r="CC23" s="152" t="s">
        <v>78</v>
      </c>
      <c r="CD23" s="152"/>
      <c r="CE23" s="152" t="s">
        <v>24</v>
      </c>
      <c r="CF23" s="152"/>
      <c r="CG23" s="152" t="s">
        <v>18</v>
      </c>
    </row>
    <row r="24" spans="3:85" ht="15.6" x14ac:dyDescent="0.3">
      <c r="C24" s="9"/>
      <c r="D24" s="10"/>
      <c r="E24" s="10"/>
      <c r="F24" s="48"/>
      <c r="G24" s="4" t="s">
        <v>3</v>
      </c>
      <c r="H24" s="39"/>
      <c r="I24" s="10"/>
      <c r="J24" s="10"/>
      <c r="K24" s="10"/>
      <c r="L24" s="186"/>
      <c r="M24" s="230"/>
      <c r="N24" s="231"/>
      <c r="O24" s="231"/>
      <c r="P24" s="232"/>
      <c r="Q24" s="27"/>
      <c r="R24" s="9"/>
      <c r="S24" s="10"/>
      <c r="T24" s="10"/>
      <c r="U24" s="37"/>
      <c r="V24" s="4" t="s">
        <v>3</v>
      </c>
      <c r="W24" s="39"/>
      <c r="X24" s="10"/>
      <c r="Y24" s="10"/>
      <c r="Z24" s="10"/>
      <c r="AA24" s="186"/>
      <c r="AB24" s="230"/>
      <c r="AC24" s="231"/>
      <c r="AD24" s="231"/>
      <c r="AE24" s="232"/>
      <c r="AF24" s="27"/>
      <c r="AG24" s="9"/>
      <c r="AH24" s="10"/>
      <c r="AI24" s="10"/>
      <c r="AJ24" s="48"/>
      <c r="AK24" s="4" t="s">
        <v>3</v>
      </c>
      <c r="AL24" s="39"/>
      <c r="AM24" s="10"/>
      <c r="AN24" s="10"/>
      <c r="AO24" s="10"/>
      <c r="AP24" s="186"/>
      <c r="AQ24" s="230"/>
      <c r="AR24" s="231"/>
      <c r="AS24" s="231"/>
      <c r="AT24" s="232"/>
      <c r="AU24" s="27"/>
      <c r="AV24" s="9"/>
      <c r="AW24" s="10"/>
      <c r="AX24" s="10"/>
      <c r="AY24" s="48"/>
      <c r="AZ24" s="4" t="s">
        <v>3</v>
      </c>
      <c r="BA24" s="39"/>
      <c r="BB24" s="10"/>
      <c r="BC24" s="10"/>
      <c r="BD24" s="10"/>
      <c r="BE24" s="186"/>
      <c r="BF24" s="230"/>
      <c r="BG24" s="231"/>
      <c r="BH24" s="231"/>
      <c r="BI24" s="232"/>
      <c r="BJ24" s="28"/>
      <c r="BK24" s="194"/>
      <c r="BL24" s="10"/>
      <c r="BM24" s="10"/>
      <c r="BN24" s="48"/>
      <c r="BO24" s="4" t="s">
        <v>3</v>
      </c>
      <c r="BP24" s="39"/>
      <c r="BQ24" s="10"/>
      <c r="BR24" s="10"/>
      <c r="BS24" s="10"/>
      <c r="BT24" s="186"/>
      <c r="BU24" s="230"/>
      <c r="BV24" s="231"/>
      <c r="BW24" s="231"/>
      <c r="BX24" s="233"/>
      <c r="CA24" s="152" t="s">
        <v>73</v>
      </c>
      <c r="CB24" s="152"/>
      <c r="CC24" s="152" t="s">
        <v>79</v>
      </c>
      <c r="CD24" s="152"/>
      <c r="CE24" s="152"/>
      <c r="CF24" s="152"/>
      <c r="CG24" s="152" t="s">
        <v>19</v>
      </c>
    </row>
    <row r="25" spans="3:85" ht="16.2" thickBot="1" x14ac:dyDescent="0.35">
      <c r="C25" s="11"/>
      <c r="D25" s="12"/>
      <c r="E25" s="12"/>
      <c r="F25" s="49"/>
      <c r="G25" s="6" t="s">
        <v>3</v>
      </c>
      <c r="H25" s="40"/>
      <c r="I25" s="12"/>
      <c r="J25" s="12"/>
      <c r="K25" s="12"/>
      <c r="L25" s="187"/>
      <c r="M25" s="220"/>
      <c r="N25" s="221"/>
      <c r="O25" s="221"/>
      <c r="P25" s="222"/>
      <c r="Q25" s="27"/>
      <c r="R25" s="11"/>
      <c r="S25" s="12"/>
      <c r="T25" s="12"/>
      <c r="U25" s="38"/>
      <c r="V25" s="6" t="s">
        <v>3</v>
      </c>
      <c r="W25" s="40"/>
      <c r="X25" s="12"/>
      <c r="Y25" s="12"/>
      <c r="Z25" s="12"/>
      <c r="AA25" s="187"/>
      <c r="AB25" s="220"/>
      <c r="AC25" s="221"/>
      <c r="AD25" s="221"/>
      <c r="AE25" s="222"/>
      <c r="AF25" s="27"/>
      <c r="AG25" s="11"/>
      <c r="AH25" s="12"/>
      <c r="AI25" s="12"/>
      <c r="AJ25" s="49"/>
      <c r="AK25" s="6" t="s">
        <v>3</v>
      </c>
      <c r="AL25" s="40"/>
      <c r="AM25" s="12"/>
      <c r="AN25" s="12"/>
      <c r="AO25" s="12"/>
      <c r="AP25" s="187"/>
      <c r="AQ25" s="220"/>
      <c r="AR25" s="221"/>
      <c r="AS25" s="221"/>
      <c r="AT25" s="222"/>
      <c r="AU25" s="27"/>
      <c r="AV25" s="11"/>
      <c r="AW25" s="12"/>
      <c r="AX25" s="12"/>
      <c r="AY25" s="49"/>
      <c r="AZ25" s="6" t="s">
        <v>3</v>
      </c>
      <c r="BA25" s="40"/>
      <c r="BB25" s="12"/>
      <c r="BC25" s="12"/>
      <c r="BD25" s="12"/>
      <c r="BE25" s="187"/>
      <c r="BF25" s="220"/>
      <c r="BG25" s="221"/>
      <c r="BH25" s="221"/>
      <c r="BI25" s="222"/>
      <c r="BJ25" s="28"/>
      <c r="BK25" s="197"/>
      <c r="BL25" s="198"/>
      <c r="BM25" s="198"/>
      <c r="BN25" s="199"/>
      <c r="BO25" s="200" t="s">
        <v>3</v>
      </c>
      <c r="BP25" s="201"/>
      <c r="BQ25" s="198"/>
      <c r="BR25" s="198"/>
      <c r="BS25" s="198"/>
      <c r="BT25" s="202"/>
      <c r="BU25" s="223"/>
      <c r="BV25" s="224"/>
      <c r="BW25" s="224"/>
      <c r="BX25" s="225"/>
      <c r="CA25" s="152" t="s">
        <v>1</v>
      </c>
      <c r="CB25" s="152"/>
      <c r="CC25" s="152" t="s">
        <v>80</v>
      </c>
      <c r="CD25" s="152"/>
      <c r="CE25" s="152"/>
      <c r="CF25" s="152"/>
      <c r="CG25" s="152"/>
    </row>
    <row r="26" spans="3:85" x14ac:dyDescent="0.3">
      <c r="CA26" s="152" t="s">
        <v>15</v>
      </c>
      <c r="CB26" s="152"/>
      <c r="CC26" s="152" t="s">
        <v>92</v>
      </c>
      <c r="CD26" s="152"/>
      <c r="CE26" s="152"/>
      <c r="CF26" s="152"/>
      <c r="CG26" s="152" t="s">
        <v>83</v>
      </c>
    </row>
    <row r="27" spans="3:85" ht="15" thickBot="1" x14ac:dyDescent="0.35">
      <c r="CA27" s="152" t="s">
        <v>16</v>
      </c>
      <c r="CB27" s="152"/>
      <c r="CC27" s="152" t="s">
        <v>91</v>
      </c>
      <c r="CD27" s="152"/>
      <c r="CE27" s="152"/>
      <c r="CF27" s="152"/>
      <c r="CG27" s="152" t="s">
        <v>102</v>
      </c>
    </row>
    <row r="28" spans="3:85" ht="24" thickBot="1" x14ac:dyDescent="0.35">
      <c r="C28" s="102" t="s">
        <v>14</v>
      </c>
      <c r="D28" s="1"/>
      <c r="E28" s="1"/>
      <c r="F28" s="47"/>
      <c r="G28" s="1"/>
      <c r="H28" s="50"/>
      <c r="I28" s="1"/>
      <c r="J28" s="1"/>
      <c r="K28" s="1"/>
      <c r="L28" s="1"/>
      <c r="M28" s="1"/>
      <c r="N28" s="1"/>
      <c r="O28" s="1"/>
      <c r="P28" s="1"/>
      <c r="CA28" s="152"/>
      <c r="CB28" s="152"/>
      <c r="CC28" s="152" t="s">
        <v>93</v>
      </c>
      <c r="CD28" s="152"/>
      <c r="CE28" s="152"/>
      <c r="CF28" s="152"/>
      <c r="CG28" s="152" t="s">
        <v>101</v>
      </c>
    </row>
    <row r="29" spans="3:85" ht="18.600000000000001" thickBot="1" x14ac:dyDescent="0.4">
      <c r="C29" s="130" t="s">
        <v>107</v>
      </c>
      <c r="D29" s="219" t="s">
        <v>136</v>
      </c>
      <c r="E29" s="219" t="s">
        <v>56</v>
      </c>
      <c r="F29" s="235" t="s">
        <v>29</v>
      </c>
      <c r="G29" s="235"/>
      <c r="H29" s="241"/>
      <c r="I29" s="219" t="s">
        <v>7</v>
      </c>
      <c r="J29" s="219" t="s">
        <v>137</v>
      </c>
      <c r="K29" s="219" t="s">
        <v>10</v>
      </c>
      <c r="L29" s="218" t="s">
        <v>66</v>
      </c>
      <c r="M29" s="234" t="s">
        <v>9</v>
      </c>
      <c r="N29" s="235"/>
      <c r="O29" s="235"/>
      <c r="P29" s="236"/>
      <c r="R29" s="130" t="s">
        <v>120</v>
      </c>
      <c r="S29" s="219" t="s">
        <v>136</v>
      </c>
      <c r="T29" s="219" t="s">
        <v>56</v>
      </c>
      <c r="U29" s="235" t="s">
        <v>29</v>
      </c>
      <c r="V29" s="235"/>
      <c r="W29" s="241"/>
      <c r="X29" s="219" t="s">
        <v>7</v>
      </c>
      <c r="Y29" s="219" t="s">
        <v>137</v>
      </c>
      <c r="Z29" s="219" t="s">
        <v>10</v>
      </c>
      <c r="AA29" s="218" t="s">
        <v>66</v>
      </c>
      <c r="AB29" s="234" t="s">
        <v>9</v>
      </c>
      <c r="AC29" s="235"/>
      <c r="AD29" s="235"/>
      <c r="AE29" s="236"/>
      <c r="AG29" s="130" t="s">
        <v>124</v>
      </c>
      <c r="AH29" s="219" t="s">
        <v>136</v>
      </c>
      <c r="AI29" s="219" t="s">
        <v>56</v>
      </c>
      <c r="AJ29" s="235" t="s">
        <v>29</v>
      </c>
      <c r="AK29" s="235"/>
      <c r="AL29" s="241"/>
      <c r="AM29" s="219" t="s">
        <v>7</v>
      </c>
      <c r="AN29" s="219" t="s">
        <v>137</v>
      </c>
      <c r="AO29" s="219" t="s">
        <v>10</v>
      </c>
      <c r="AP29" s="218" t="s">
        <v>66</v>
      </c>
      <c r="AQ29" s="234" t="s">
        <v>9</v>
      </c>
      <c r="AR29" s="235"/>
      <c r="AS29" s="235"/>
      <c r="AT29" s="236"/>
      <c r="AV29" s="130" t="s">
        <v>128</v>
      </c>
      <c r="AW29" s="219" t="s">
        <v>136</v>
      </c>
      <c r="AX29" s="219" t="s">
        <v>56</v>
      </c>
      <c r="AY29" s="235" t="s">
        <v>29</v>
      </c>
      <c r="AZ29" s="235"/>
      <c r="BA29" s="241"/>
      <c r="BB29" s="219" t="s">
        <v>7</v>
      </c>
      <c r="BC29" s="219" t="s">
        <v>137</v>
      </c>
      <c r="BD29" s="219" t="s">
        <v>10</v>
      </c>
      <c r="BE29" s="218" t="s">
        <v>66</v>
      </c>
      <c r="BF29" s="234" t="s">
        <v>9</v>
      </c>
      <c r="BG29" s="235"/>
      <c r="BH29" s="235"/>
      <c r="BI29" s="236"/>
      <c r="BJ29" s="29"/>
      <c r="BK29" s="190" t="s">
        <v>132</v>
      </c>
      <c r="BL29" s="101" t="s">
        <v>6</v>
      </c>
      <c r="BM29" s="103" t="s">
        <v>4</v>
      </c>
      <c r="BN29" s="234" t="s">
        <v>29</v>
      </c>
      <c r="BO29" s="235"/>
      <c r="BP29" s="241"/>
      <c r="BQ29" s="101" t="s">
        <v>7</v>
      </c>
      <c r="BR29" s="101" t="s">
        <v>8</v>
      </c>
      <c r="BS29" s="101" t="s">
        <v>10</v>
      </c>
      <c r="BT29" s="168" t="s">
        <v>66</v>
      </c>
      <c r="BU29" s="234" t="s">
        <v>9</v>
      </c>
      <c r="BV29" s="235"/>
      <c r="BW29" s="235"/>
      <c r="BX29" s="236"/>
      <c r="CA29" s="152" t="s">
        <v>71</v>
      </c>
      <c r="CB29" s="152"/>
      <c r="CC29" s="152" t="s">
        <v>94</v>
      </c>
      <c r="CD29" s="152"/>
      <c r="CE29" s="152"/>
      <c r="CF29" s="152"/>
      <c r="CG29" s="152"/>
    </row>
    <row r="30" spans="3:85" ht="15.6" x14ac:dyDescent="0.3">
      <c r="C30" s="7" t="str">
        <f>C18</f>
        <v>WK-Kniebeuge</v>
      </c>
      <c r="D30" s="8">
        <v>1</v>
      </c>
      <c r="E30" s="8">
        <v>1</v>
      </c>
      <c r="F30" s="33">
        <f>(0.9*D10)-5</f>
        <v>-5</v>
      </c>
      <c r="G30" s="5" t="s">
        <v>3</v>
      </c>
      <c r="H30" s="34">
        <f>(0.9*D10)+5</f>
        <v>5</v>
      </c>
      <c r="I30" s="8">
        <v>8</v>
      </c>
      <c r="J30" s="8" t="s">
        <v>61</v>
      </c>
      <c r="K30" s="8"/>
      <c r="L30" s="185"/>
      <c r="M30" s="237"/>
      <c r="N30" s="238"/>
      <c r="O30" s="238"/>
      <c r="P30" s="239"/>
      <c r="R30" s="151" t="s">
        <v>97</v>
      </c>
      <c r="S30" s="8">
        <v>1</v>
      </c>
      <c r="T30" s="8">
        <v>1</v>
      </c>
      <c r="U30" s="36">
        <f>(0.9*F10)-5</f>
        <v>-5</v>
      </c>
      <c r="V30" s="5" t="s">
        <v>3</v>
      </c>
      <c r="W30" s="34">
        <f>(0.9*F10)+5</f>
        <v>5</v>
      </c>
      <c r="X30" s="8">
        <v>8</v>
      </c>
      <c r="Y30" s="8" t="s">
        <v>62</v>
      </c>
      <c r="Z30" s="8"/>
      <c r="AA30" s="185"/>
      <c r="AB30" s="237"/>
      <c r="AC30" s="238"/>
      <c r="AD30" s="238"/>
      <c r="AE30" s="239"/>
      <c r="AG30" s="151" t="s">
        <v>98</v>
      </c>
      <c r="AH30" s="8">
        <v>1</v>
      </c>
      <c r="AI30" s="8">
        <v>1</v>
      </c>
      <c r="AJ30" s="33">
        <f>(0.9*H10)-5</f>
        <v>-5</v>
      </c>
      <c r="AK30" s="5" t="s">
        <v>3</v>
      </c>
      <c r="AL30" s="34">
        <f>(0.9*H10)+5</f>
        <v>5</v>
      </c>
      <c r="AM30" s="8">
        <v>8</v>
      </c>
      <c r="AN30" s="8" t="s">
        <v>40</v>
      </c>
      <c r="AO30" s="8"/>
      <c r="AP30" s="185"/>
      <c r="AQ30" s="237"/>
      <c r="AR30" s="238"/>
      <c r="AS30" s="238"/>
      <c r="AT30" s="239"/>
      <c r="AV30" s="151" t="s">
        <v>95</v>
      </c>
      <c r="AW30" s="8">
        <v>4</v>
      </c>
      <c r="AX30" s="8">
        <v>3</v>
      </c>
      <c r="AY30" s="33">
        <f>(0.83*D10)-5</f>
        <v>-5</v>
      </c>
      <c r="AZ30" s="5" t="s">
        <v>3</v>
      </c>
      <c r="BA30" s="34">
        <f>(0.83*D10)+5</f>
        <v>5</v>
      </c>
      <c r="BB30" s="8">
        <v>8</v>
      </c>
      <c r="BC30" s="8" t="s">
        <v>61</v>
      </c>
      <c r="BD30" s="8"/>
      <c r="BE30" s="185"/>
      <c r="BF30" s="237"/>
      <c r="BG30" s="238"/>
      <c r="BH30" s="238"/>
      <c r="BI30" s="239"/>
      <c r="BJ30" s="28"/>
      <c r="BK30" s="193" t="s">
        <v>97</v>
      </c>
      <c r="BL30" s="8">
        <v>3</v>
      </c>
      <c r="BM30" s="8">
        <v>3</v>
      </c>
      <c r="BN30" s="33">
        <f>(0.83*F10)-5</f>
        <v>-5</v>
      </c>
      <c r="BO30" s="5" t="s">
        <v>3</v>
      </c>
      <c r="BP30" s="34">
        <f>(0.83*F10)+5</f>
        <v>5</v>
      </c>
      <c r="BQ30" s="8">
        <v>8</v>
      </c>
      <c r="BR30" s="8" t="s">
        <v>62</v>
      </c>
      <c r="BS30" s="8"/>
      <c r="BT30" s="185"/>
      <c r="BU30" s="237"/>
      <c r="BV30" s="238"/>
      <c r="BW30" s="238"/>
      <c r="BX30" s="239"/>
      <c r="CA30" s="152" t="s">
        <v>90</v>
      </c>
      <c r="CB30" s="152"/>
      <c r="CC30" s="152" t="s">
        <v>20</v>
      </c>
      <c r="CD30" s="152"/>
      <c r="CE30" s="152"/>
      <c r="CF30" s="152"/>
      <c r="CG30" s="152"/>
    </row>
    <row r="31" spans="3:85" ht="15.6" x14ac:dyDescent="0.3">
      <c r="C31" s="7" t="str">
        <f>C19</f>
        <v>WK-Kniebeuge</v>
      </c>
      <c r="D31" s="8">
        <v>3</v>
      </c>
      <c r="E31" s="8">
        <v>4</v>
      </c>
      <c r="F31" s="33">
        <f>(0.8*D10)-5</f>
        <v>-5</v>
      </c>
      <c r="G31" s="5" t="s">
        <v>3</v>
      </c>
      <c r="H31" s="34">
        <f>(0.8*D10)+5</f>
        <v>5</v>
      </c>
      <c r="I31" s="35" t="s">
        <v>30</v>
      </c>
      <c r="J31" s="8" t="s">
        <v>61</v>
      </c>
      <c r="K31" s="8"/>
      <c r="L31" s="185"/>
      <c r="M31" s="56"/>
      <c r="N31" s="57"/>
      <c r="O31" s="57"/>
      <c r="P31" s="58"/>
      <c r="R31" s="151" t="s">
        <v>97</v>
      </c>
      <c r="S31" s="8">
        <v>3</v>
      </c>
      <c r="T31" s="8">
        <v>4</v>
      </c>
      <c r="U31" s="36">
        <f>(0.78*F10)-5</f>
        <v>-5</v>
      </c>
      <c r="V31" s="5" t="s">
        <v>3</v>
      </c>
      <c r="W31" s="34">
        <f>(0.78*F10)+5</f>
        <v>5</v>
      </c>
      <c r="X31" s="35" t="s">
        <v>30</v>
      </c>
      <c r="Y31" s="8" t="s">
        <v>62</v>
      </c>
      <c r="Z31" s="8"/>
      <c r="AA31" s="185"/>
      <c r="AB31" s="56"/>
      <c r="AC31" s="57"/>
      <c r="AD31" s="57"/>
      <c r="AE31" s="58"/>
      <c r="AG31" s="151" t="s">
        <v>98</v>
      </c>
      <c r="AH31" s="8">
        <v>3</v>
      </c>
      <c r="AI31" s="8">
        <v>3</v>
      </c>
      <c r="AJ31" s="33">
        <f>(0.83*H10)-5</f>
        <v>-5</v>
      </c>
      <c r="AK31" s="5" t="s">
        <v>3</v>
      </c>
      <c r="AL31" s="34">
        <f>(0.83*H10)+5</f>
        <v>5</v>
      </c>
      <c r="AM31" s="8">
        <v>8</v>
      </c>
      <c r="AN31" s="8" t="s">
        <v>40</v>
      </c>
      <c r="AO31" s="8"/>
      <c r="AP31" s="185"/>
      <c r="AQ31" s="56"/>
      <c r="AR31" s="57"/>
      <c r="AS31" s="57"/>
      <c r="AT31" s="58"/>
      <c r="AV31" s="7"/>
      <c r="AW31" s="8"/>
      <c r="AX31" s="8"/>
      <c r="AY31" s="33"/>
      <c r="AZ31" s="5" t="s">
        <v>3</v>
      </c>
      <c r="BA31" s="34"/>
      <c r="BB31" s="8"/>
      <c r="BC31" s="8"/>
      <c r="BD31" s="8"/>
      <c r="BE31" s="185"/>
      <c r="BF31" s="56"/>
      <c r="BG31" s="57"/>
      <c r="BH31" s="57"/>
      <c r="BI31" s="58"/>
      <c r="BJ31" s="28"/>
      <c r="BK31" s="193"/>
      <c r="BL31" s="8"/>
      <c r="BM31" s="8"/>
      <c r="BN31" s="33"/>
      <c r="BO31" s="5" t="s">
        <v>3</v>
      </c>
      <c r="BP31" s="34"/>
      <c r="BQ31" s="8"/>
      <c r="BR31" s="8"/>
      <c r="BS31" s="8"/>
      <c r="BT31" s="185"/>
      <c r="BU31" s="56"/>
      <c r="BV31" s="57"/>
      <c r="BW31" s="57"/>
      <c r="BX31" s="58"/>
      <c r="CA31" s="152" t="s">
        <v>59</v>
      </c>
      <c r="CB31" s="152"/>
      <c r="CC31" s="152"/>
      <c r="CD31" s="152"/>
      <c r="CE31" s="152"/>
      <c r="CF31" s="152"/>
      <c r="CG31" s="152"/>
    </row>
    <row r="32" spans="3:85" ht="15.6" x14ac:dyDescent="0.3">
      <c r="C32" s="9" t="str">
        <f>C20</f>
        <v>Unterkörperübung, unilateral</v>
      </c>
      <c r="D32" s="10">
        <v>2</v>
      </c>
      <c r="E32" s="10">
        <v>8</v>
      </c>
      <c r="F32" s="48"/>
      <c r="G32" s="4" t="s">
        <v>3</v>
      </c>
      <c r="H32" s="39"/>
      <c r="I32" s="32" t="s">
        <v>30</v>
      </c>
      <c r="J32" s="10"/>
      <c r="K32" s="10"/>
      <c r="L32" s="186"/>
      <c r="M32" s="230"/>
      <c r="N32" s="231"/>
      <c r="O32" s="231"/>
      <c r="P32" s="232"/>
      <c r="R32" s="9" t="str">
        <f>R20</f>
        <v>Latzug</v>
      </c>
      <c r="S32" s="10">
        <v>3</v>
      </c>
      <c r="T32" s="32" t="s">
        <v>35</v>
      </c>
      <c r="U32" s="37"/>
      <c r="V32" s="4" t="s">
        <v>3</v>
      </c>
      <c r="W32" s="39"/>
      <c r="X32" s="32" t="s">
        <v>30</v>
      </c>
      <c r="Y32" s="10"/>
      <c r="Z32" s="10"/>
      <c r="AA32" s="186"/>
      <c r="AB32" s="230"/>
      <c r="AC32" s="231"/>
      <c r="AD32" s="231"/>
      <c r="AE32" s="232"/>
      <c r="AG32" s="9" t="str">
        <f>AG20</f>
        <v>3ct. WK-Bankdrücken</v>
      </c>
      <c r="AH32" s="10">
        <v>3</v>
      </c>
      <c r="AI32" s="10">
        <v>3</v>
      </c>
      <c r="AJ32" s="48">
        <f>(0.77*F11)-5</f>
        <v>-5</v>
      </c>
      <c r="AK32" s="4" t="s">
        <v>3</v>
      </c>
      <c r="AL32" s="39">
        <f>(0.77*F11)+5</f>
        <v>5</v>
      </c>
      <c r="AM32" s="10">
        <v>6</v>
      </c>
      <c r="AN32" s="10" t="s">
        <v>62</v>
      </c>
      <c r="AO32" s="10"/>
      <c r="AP32" s="186"/>
      <c r="AQ32" s="230"/>
      <c r="AR32" s="231"/>
      <c r="AS32" s="231"/>
      <c r="AT32" s="232"/>
      <c r="AV32" s="9" t="str">
        <f>AV20</f>
        <v>Kreuzheben - Variation</v>
      </c>
      <c r="AW32" s="93">
        <v>3</v>
      </c>
      <c r="AX32" s="10">
        <v>4</v>
      </c>
      <c r="AY32" s="48">
        <f>IF(AV20="1ct. WK-Kreuzheben",((0.78*H12)-5),((0.78*H11)-5))</f>
        <v>-5</v>
      </c>
      <c r="AZ32" s="4" t="s">
        <v>3</v>
      </c>
      <c r="BA32" s="39">
        <f>IF(AV20="1ct. WK-Kreuzheben",((0.78*H12)+5),((0.78*H11)+5))</f>
        <v>5</v>
      </c>
      <c r="BB32" s="32" t="s">
        <v>30</v>
      </c>
      <c r="BC32" s="10" t="s">
        <v>40</v>
      </c>
      <c r="BD32" s="10"/>
      <c r="BE32" s="186"/>
      <c r="BF32" s="230"/>
      <c r="BG32" s="231"/>
      <c r="BH32" s="231"/>
      <c r="BI32" s="232"/>
      <c r="BJ32" s="28"/>
      <c r="BK32" s="194" t="s">
        <v>100</v>
      </c>
      <c r="BL32" s="10">
        <v>2</v>
      </c>
      <c r="BM32" s="10">
        <v>5</v>
      </c>
      <c r="BN32" s="48">
        <f>(0.74*F13)-5</f>
        <v>-5</v>
      </c>
      <c r="BO32" s="4" t="s">
        <v>3</v>
      </c>
      <c r="BP32" s="39">
        <f>(0.74*F13)+5</f>
        <v>5</v>
      </c>
      <c r="BQ32" s="10">
        <v>7</v>
      </c>
      <c r="BR32" s="10" t="s">
        <v>62</v>
      </c>
      <c r="BS32" s="10"/>
      <c r="BT32" s="186"/>
      <c r="BU32" s="230"/>
      <c r="BV32" s="231"/>
      <c r="BW32" s="231"/>
      <c r="BX32" s="232"/>
      <c r="CA32" s="152" t="s">
        <v>60</v>
      </c>
      <c r="CB32" s="152"/>
      <c r="CC32" s="152"/>
      <c r="CD32" s="152"/>
      <c r="CE32" s="152"/>
      <c r="CF32" s="152"/>
      <c r="CG32" s="152"/>
    </row>
    <row r="33" spans="3:76" ht="15.6" x14ac:dyDescent="0.3">
      <c r="C33" s="7" t="str">
        <f t="shared" ref="C33:C35" si="0">C21</f>
        <v>Rudern</v>
      </c>
      <c r="D33" s="8">
        <v>3</v>
      </c>
      <c r="E33" s="31" t="s">
        <v>35</v>
      </c>
      <c r="F33" s="33"/>
      <c r="G33" s="5" t="s">
        <v>3</v>
      </c>
      <c r="H33" s="34"/>
      <c r="I33" s="35" t="s">
        <v>30</v>
      </c>
      <c r="J33" s="8"/>
      <c r="K33" s="8"/>
      <c r="L33" s="185"/>
      <c r="M33" s="226"/>
      <c r="N33" s="227"/>
      <c r="O33" s="227"/>
      <c r="P33" s="228"/>
      <c r="R33" s="7" t="str">
        <f>R21</f>
        <v>Oberkörper Drückbewegung</v>
      </c>
      <c r="S33" s="8">
        <v>3</v>
      </c>
      <c r="T33" s="8">
        <f>IF(OR(R21="Dips",R21="LH Schulterdrücken"),4,8)</f>
        <v>8</v>
      </c>
      <c r="U33" s="36"/>
      <c r="V33" s="5" t="s">
        <v>3</v>
      </c>
      <c r="W33" s="34"/>
      <c r="X33" s="8">
        <v>8</v>
      </c>
      <c r="Y33" s="8"/>
      <c r="Z33" s="8"/>
      <c r="AA33" s="185"/>
      <c r="AB33" s="226"/>
      <c r="AC33" s="227"/>
      <c r="AD33" s="227"/>
      <c r="AE33" s="228"/>
      <c r="AG33" s="88" t="str">
        <f>AG21</f>
        <v>Kniebeuge - Variation</v>
      </c>
      <c r="AH33" s="83">
        <v>3</v>
      </c>
      <c r="AI33" s="83">
        <v>3</v>
      </c>
      <c r="AJ33" s="84">
        <f>IF(AG21="2ct. WK-Kniebeuge",(D11*0.77)-5,(D12*0.77)-5)</f>
        <v>-5</v>
      </c>
      <c r="AK33" s="85" t="s">
        <v>3</v>
      </c>
      <c r="AL33" s="86">
        <f>IF(AG21="2ct. WK-Kniebeuge",(D11*0.77)+5,(D12*0.77)+5)</f>
        <v>5</v>
      </c>
      <c r="AM33" s="83">
        <v>6</v>
      </c>
      <c r="AN33" s="83" t="s">
        <v>61</v>
      </c>
      <c r="AO33" s="83"/>
      <c r="AP33" s="188"/>
      <c r="AQ33" s="246"/>
      <c r="AR33" s="247"/>
      <c r="AS33" s="247"/>
      <c r="AT33" s="248"/>
      <c r="AV33" s="7" t="str">
        <f>AV21</f>
        <v>Latzug</v>
      </c>
      <c r="AW33" s="8">
        <v>3</v>
      </c>
      <c r="AX33" s="35" t="s">
        <v>35</v>
      </c>
      <c r="AY33" s="33"/>
      <c r="AZ33" s="5" t="s">
        <v>3</v>
      </c>
      <c r="BA33" s="34"/>
      <c r="BB33" s="35" t="s">
        <v>30</v>
      </c>
      <c r="BC33" s="8"/>
      <c r="BD33" s="8"/>
      <c r="BE33" s="185"/>
      <c r="BF33" s="226"/>
      <c r="BG33" s="227"/>
      <c r="BH33" s="227"/>
      <c r="BI33" s="228"/>
      <c r="BJ33" s="28"/>
      <c r="BK33" s="7" t="str">
        <f>BK21</f>
        <v>Oberkörper Drückbewegung</v>
      </c>
      <c r="BL33" s="8">
        <v>2</v>
      </c>
      <c r="BM33" s="8" t="str">
        <f>IF(OR(BK33="Dips",BK33="Military Press"),"5","6-8")</f>
        <v>6-8</v>
      </c>
      <c r="BN33" s="33"/>
      <c r="BO33" s="5" t="s">
        <v>3</v>
      </c>
      <c r="BP33" s="34"/>
      <c r="BQ33" s="35" t="s">
        <v>30</v>
      </c>
      <c r="BR33" s="8"/>
      <c r="BS33" s="8"/>
      <c r="BT33" s="185"/>
      <c r="BU33" s="226"/>
      <c r="BV33" s="227"/>
      <c r="BW33" s="227"/>
      <c r="BX33" s="228"/>
    </row>
    <row r="34" spans="3:76" ht="15.6" x14ac:dyDescent="0.3">
      <c r="C34" s="9" t="str">
        <f t="shared" si="0"/>
        <v>Beinbeuger</v>
      </c>
      <c r="D34" s="10">
        <v>2</v>
      </c>
      <c r="E34" s="32">
        <v>8</v>
      </c>
      <c r="F34" s="48"/>
      <c r="G34" s="4" t="s">
        <v>3</v>
      </c>
      <c r="H34" s="39"/>
      <c r="I34" s="32" t="s">
        <v>30</v>
      </c>
      <c r="J34" s="10"/>
      <c r="K34" s="10"/>
      <c r="L34" s="186"/>
      <c r="M34" s="230"/>
      <c r="N34" s="231"/>
      <c r="O34" s="231"/>
      <c r="P34" s="232"/>
      <c r="R34" s="9" t="str">
        <f>R22</f>
        <v>Hintere Schulter</v>
      </c>
      <c r="S34" s="10">
        <v>3</v>
      </c>
      <c r="T34" s="32" t="s">
        <v>41</v>
      </c>
      <c r="U34" s="37"/>
      <c r="V34" s="4" t="s">
        <v>3</v>
      </c>
      <c r="W34" s="39"/>
      <c r="X34" s="32" t="s">
        <v>30</v>
      </c>
      <c r="Y34" s="10"/>
      <c r="Z34" s="10"/>
      <c r="AA34" s="186"/>
      <c r="AB34" s="230"/>
      <c r="AC34" s="231"/>
      <c r="AD34" s="231"/>
      <c r="AE34" s="232"/>
      <c r="AG34" s="9" t="s">
        <v>21</v>
      </c>
      <c r="AH34" s="32" t="s">
        <v>37</v>
      </c>
      <c r="AI34" s="32" t="s">
        <v>38</v>
      </c>
      <c r="AJ34" s="48"/>
      <c r="AK34" s="4" t="s">
        <v>3</v>
      </c>
      <c r="AL34" s="39"/>
      <c r="AM34" s="32" t="s">
        <v>30</v>
      </c>
      <c r="AN34" s="10"/>
      <c r="AO34" s="10"/>
      <c r="AP34" s="186"/>
      <c r="AQ34" s="230"/>
      <c r="AR34" s="231"/>
      <c r="AS34" s="231"/>
      <c r="AT34" s="232"/>
      <c r="AV34" s="9" t="s">
        <v>26</v>
      </c>
      <c r="AW34" s="10">
        <v>3</v>
      </c>
      <c r="AX34" s="10">
        <v>8</v>
      </c>
      <c r="AY34" s="48"/>
      <c r="AZ34" s="4" t="s">
        <v>3</v>
      </c>
      <c r="BA34" s="39"/>
      <c r="BB34" s="32" t="s">
        <v>30</v>
      </c>
      <c r="BC34" s="10"/>
      <c r="BD34" s="10"/>
      <c r="BE34" s="186"/>
      <c r="BF34" s="230"/>
      <c r="BG34" s="231"/>
      <c r="BH34" s="231"/>
      <c r="BI34" s="232"/>
      <c r="BJ34" s="28"/>
      <c r="BK34" s="9" t="str">
        <f>BK22</f>
        <v>Rudern</v>
      </c>
      <c r="BL34" s="10">
        <v>3</v>
      </c>
      <c r="BM34" s="10" t="str">
        <f>IF(OR(BK34="Pendlay Rudern"),"6","6-8")</f>
        <v>6-8</v>
      </c>
      <c r="BN34" s="48"/>
      <c r="BO34" s="4" t="s">
        <v>3</v>
      </c>
      <c r="BP34" s="39"/>
      <c r="BQ34" s="10">
        <v>8</v>
      </c>
      <c r="BR34" s="10"/>
      <c r="BS34" s="10"/>
      <c r="BT34" s="186"/>
      <c r="BU34" s="230"/>
      <c r="BV34" s="231"/>
      <c r="BW34" s="231"/>
      <c r="BX34" s="232"/>
    </row>
    <row r="35" spans="3:76" ht="15.6" x14ac:dyDescent="0.3">
      <c r="C35" s="7" t="str">
        <f t="shared" si="0"/>
        <v>Optional: Unterarmstütz/Ab Roll</v>
      </c>
      <c r="D35" s="8">
        <v>2</v>
      </c>
      <c r="E35" s="8"/>
      <c r="F35" s="33"/>
      <c r="G35" s="5" t="s">
        <v>3</v>
      </c>
      <c r="H35" s="34"/>
      <c r="I35" s="8"/>
      <c r="J35" s="8"/>
      <c r="K35" s="8"/>
      <c r="L35" s="185"/>
      <c r="M35" s="226"/>
      <c r="N35" s="227"/>
      <c r="O35" s="227"/>
      <c r="P35" s="228"/>
      <c r="R35" s="7"/>
      <c r="S35" s="8"/>
      <c r="T35" s="8"/>
      <c r="U35" s="36"/>
      <c r="V35" s="5" t="s">
        <v>3</v>
      </c>
      <c r="W35" s="34"/>
      <c r="X35" s="8"/>
      <c r="Y35" s="8"/>
      <c r="Z35" s="8"/>
      <c r="AA35" s="185"/>
      <c r="AB35" s="226"/>
      <c r="AC35" s="227"/>
      <c r="AD35" s="227"/>
      <c r="AE35" s="228"/>
      <c r="AG35" s="7" t="s">
        <v>22</v>
      </c>
      <c r="AH35" s="35" t="s">
        <v>37</v>
      </c>
      <c r="AI35" s="35" t="s">
        <v>38</v>
      </c>
      <c r="AJ35" s="33"/>
      <c r="AK35" s="5" t="s">
        <v>3</v>
      </c>
      <c r="AL35" s="34"/>
      <c r="AM35" s="35" t="s">
        <v>30</v>
      </c>
      <c r="AN35" s="8"/>
      <c r="AO35" s="8"/>
      <c r="AP35" s="185"/>
      <c r="AQ35" s="226"/>
      <c r="AR35" s="227"/>
      <c r="AS35" s="227"/>
      <c r="AT35" s="228"/>
      <c r="AV35" s="151" t="s">
        <v>96</v>
      </c>
      <c r="AW35" s="8">
        <v>2</v>
      </c>
      <c r="AX35" s="8"/>
      <c r="AY35" s="33"/>
      <c r="AZ35" s="5" t="s">
        <v>3</v>
      </c>
      <c r="BA35" s="34"/>
      <c r="BB35" s="8"/>
      <c r="BC35" s="8"/>
      <c r="BD35" s="8"/>
      <c r="BE35" s="185"/>
      <c r="BF35" s="226"/>
      <c r="BG35" s="227"/>
      <c r="BH35" s="227"/>
      <c r="BI35" s="228"/>
      <c r="BJ35" s="28"/>
      <c r="BK35" s="7" t="str">
        <f>BK23</f>
        <v>Hintere Schulter</v>
      </c>
      <c r="BL35" s="8">
        <v>3</v>
      </c>
      <c r="BM35" s="35" t="s">
        <v>41</v>
      </c>
      <c r="BN35" s="33"/>
      <c r="BO35" s="5" t="s">
        <v>3</v>
      </c>
      <c r="BP35" s="34"/>
      <c r="BQ35" s="35" t="s">
        <v>30</v>
      </c>
      <c r="BR35" s="8"/>
      <c r="BS35" s="8"/>
      <c r="BT35" s="185"/>
      <c r="BU35" s="226"/>
      <c r="BV35" s="227"/>
      <c r="BW35" s="227"/>
      <c r="BX35" s="228"/>
    </row>
    <row r="36" spans="3:76" ht="15.6" x14ac:dyDescent="0.3">
      <c r="C36" s="9"/>
      <c r="D36" s="10"/>
      <c r="E36" s="10"/>
      <c r="F36" s="48"/>
      <c r="G36" s="4" t="s">
        <v>3</v>
      </c>
      <c r="H36" s="39"/>
      <c r="I36" s="10"/>
      <c r="J36" s="10"/>
      <c r="K36" s="10"/>
      <c r="L36" s="186"/>
      <c r="M36" s="230"/>
      <c r="N36" s="231"/>
      <c r="O36" s="231"/>
      <c r="P36" s="232"/>
      <c r="R36" s="9"/>
      <c r="S36" s="10"/>
      <c r="T36" s="10"/>
      <c r="U36" s="37"/>
      <c r="V36" s="4" t="s">
        <v>3</v>
      </c>
      <c r="W36" s="39"/>
      <c r="X36" s="10"/>
      <c r="Y36" s="10"/>
      <c r="Z36" s="10"/>
      <c r="AA36" s="186"/>
      <c r="AB36" s="230"/>
      <c r="AC36" s="231"/>
      <c r="AD36" s="231"/>
      <c r="AE36" s="232"/>
      <c r="AG36" s="9"/>
      <c r="AH36" s="10"/>
      <c r="AI36" s="10"/>
      <c r="AJ36" s="48"/>
      <c r="AK36" s="4" t="s">
        <v>3</v>
      </c>
      <c r="AL36" s="39"/>
      <c r="AM36" s="10"/>
      <c r="AN36" s="10"/>
      <c r="AO36" s="10"/>
      <c r="AP36" s="186"/>
      <c r="AQ36" s="230"/>
      <c r="AR36" s="231"/>
      <c r="AS36" s="231"/>
      <c r="AT36" s="232"/>
      <c r="AV36" s="9"/>
      <c r="AW36" s="10"/>
      <c r="AX36" s="10"/>
      <c r="AY36" s="48"/>
      <c r="AZ36" s="4" t="s">
        <v>3</v>
      </c>
      <c r="BA36" s="39"/>
      <c r="BB36" s="10"/>
      <c r="BC36" s="10"/>
      <c r="BD36" s="10"/>
      <c r="BE36" s="186"/>
      <c r="BF36" s="230"/>
      <c r="BG36" s="231"/>
      <c r="BH36" s="231"/>
      <c r="BI36" s="232"/>
      <c r="BJ36" s="28"/>
      <c r="BK36" s="9"/>
      <c r="BL36" s="10"/>
      <c r="BM36" s="10"/>
      <c r="BN36" s="48"/>
      <c r="BO36" s="4" t="s">
        <v>3</v>
      </c>
      <c r="BP36" s="39"/>
      <c r="BQ36" s="10"/>
      <c r="BR36" s="10"/>
      <c r="BS36" s="10"/>
      <c r="BT36" s="186"/>
      <c r="BU36" s="230"/>
      <c r="BV36" s="231"/>
      <c r="BW36" s="231"/>
      <c r="BX36" s="232"/>
    </row>
    <row r="37" spans="3:76" ht="16.2" thickBot="1" x14ac:dyDescent="0.35">
      <c r="C37" s="11"/>
      <c r="D37" s="12"/>
      <c r="E37" s="12"/>
      <c r="F37" s="49"/>
      <c r="G37" s="6" t="s">
        <v>3</v>
      </c>
      <c r="H37" s="40"/>
      <c r="I37" s="12"/>
      <c r="J37" s="12"/>
      <c r="K37" s="12"/>
      <c r="L37" s="187"/>
      <c r="M37" s="220"/>
      <c r="N37" s="221"/>
      <c r="O37" s="221"/>
      <c r="P37" s="222"/>
      <c r="R37" s="11"/>
      <c r="S37" s="12"/>
      <c r="T37" s="12"/>
      <c r="U37" s="38"/>
      <c r="V37" s="6" t="s">
        <v>3</v>
      </c>
      <c r="W37" s="40"/>
      <c r="X37" s="12"/>
      <c r="Y37" s="12"/>
      <c r="Z37" s="12"/>
      <c r="AA37" s="187"/>
      <c r="AB37" s="220"/>
      <c r="AC37" s="221"/>
      <c r="AD37" s="221"/>
      <c r="AE37" s="222"/>
      <c r="AG37" s="11"/>
      <c r="AH37" s="12"/>
      <c r="AI37" s="12"/>
      <c r="AJ37" s="49"/>
      <c r="AK37" s="6" t="s">
        <v>3</v>
      </c>
      <c r="AL37" s="40"/>
      <c r="AM37" s="12"/>
      <c r="AN37" s="12"/>
      <c r="AO37" s="12"/>
      <c r="AP37" s="187"/>
      <c r="AQ37" s="220"/>
      <c r="AR37" s="221"/>
      <c r="AS37" s="221"/>
      <c r="AT37" s="222"/>
      <c r="AV37" s="11"/>
      <c r="AW37" s="12"/>
      <c r="AX37" s="12"/>
      <c r="AY37" s="49"/>
      <c r="AZ37" s="6" t="s">
        <v>3</v>
      </c>
      <c r="BA37" s="40"/>
      <c r="BB37" s="12"/>
      <c r="BC37" s="12"/>
      <c r="BD37" s="12"/>
      <c r="BE37" s="187"/>
      <c r="BF37" s="220"/>
      <c r="BG37" s="221"/>
      <c r="BH37" s="221"/>
      <c r="BI37" s="222"/>
      <c r="BJ37" s="28"/>
      <c r="BK37" s="11"/>
      <c r="BL37" s="12"/>
      <c r="BM37" s="12"/>
      <c r="BN37" s="49"/>
      <c r="BO37" s="6" t="s">
        <v>3</v>
      </c>
      <c r="BP37" s="40"/>
      <c r="BQ37" s="12"/>
      <c r="BR37" s="12"/>
      <c r="BS37" s="12"/>
      <c r="BT37" s="187"/>
      <c r="BU37" s="220"/>
      <c r="BV37" s="221"/>
      <c r="BW37" s="221"/>
      <c r="BX37" s="222"/>
    </row>
    <row r="39" spans="3:76" ht="15" thickBot="1" x14ac:dyDescent="0.35"/>
    <row r="40" spans="3:76" ht="24" thickBot="1" x14ac:dyDescent="0.35">
      <c r="C40" s="102" t="s">
        <v>13</v>
      </c>
      <c r="D40" s="1"/>
      <c r="E40" s="1"/>
      <c r="F40" s="47"/>
      <c r="G40" s="1"/>
      <c r="H40" s="50"/>
      <c r="I40" s="1"/>
      <c r="J40" s="1"/>
      <c r="K40" s="1"/>
      <c r="L40" s="1"/>
      <c r="M40" s="1"/>
      <c r="N40" s="1"/>
      <c r="O40" s="1"/>
      <c r="P40" s="1"/>
    </row>
    <row r="41" spans="3:76" ht="18.600000000000001" thickBot="1" x14ac:dyDescent="0.4">
      <c r="C41" s="130" t="s">
        <v>117</v>
      </c>
      <c r="D41" s="219" t="s">
        <v>136</v>
      </c>
      <c r="E41" s="219" t="s">
        <v>56</v>
      </c>
      <c r="F41" s="235" t="s">
        <v>29</v>
      </c>
      <c r="G41" s="235"/>
      <c r="H41" s="241"/>
      <c r="I41" s="219" t="s">
        <v>7</v>
      </c>
      <c r="J41" s="219" t="s">
        <v>137</v>
      </c>
      <c r="K41" s="219" t="s">
        <v>10</v>
      </c>
      <c r="L41" s="218" t="s">
        <v>66</v>
      </c>
      <c r="M41" s="234" t="s">
        <v>9</v>
      </c>
      <c r="N41" s="235"/>
      <c r="O41" s="235"/>
      <c r="P41" s="236"/>
      <c r="R41" s="130" t="s">
        <v>121</v>
      </c>
      <c r="S41" s="219" t="s">
        <v>136</v>
      </c>
      <c r="T41" s="219" t="s">
        <v>56</v>
      </c>
      <c r="U41" s="235" t="s">
        <v>29</v>
      </c>
      <c r="V41" s="235"/>
      <c r="W41" s="241"/>
      <c r="X41" s="219" t="s">
        <v>7</v>
      </c>
      <c r="Y41" s="219" t="s">
        <v>137</v>
      </c>
      <c r="Z41" s="219" t="s">
        <v>10</v>
      </c>
      <c r="AA41" s="218" t="s">
        <v>66</v>
      </c>
      <c r="AB41" s="234" t="s">
        <v>9</v>
      </c>
      <c r="AC41" s="235"/>
      <c r="AD41" s="235"/>
      <c r="AE41" s="236"/>
      <c r="AG41" s="130" t="s">
        <v>125</v>
      </c>
      <c r="AH41" s="219" t="s">
        <v>136</v>
      </c>
      <c r="AI41" s="219" t="s">
        <v>56</v>
      </c>
      <c r="AJ41" s="235" t="s">
        <v>29</v>
      </c>
      <c r="AK41" s="235"/>
      <c r="AL41" s="241"/>
      <c r="AM41" s="219" t="s">
        <v>7</v>
      </c>
      <c r="AN41" s="219" t="s">
        <v>137</v>
      </c>
      <c r="AO41" s="219" t="s">
        <v>10</v>
      </c>
      <c r="AP41" s="218" t="s">
        <v>66</v>
      </c>
      <c r="AQ41" s="234" t="s">
        <v>9</v>
      </c>
      <c r="AR41" s="235"/>
      <c r="AS41" s="235"/>
      <c r="AT41" s="236"/>
      <c r="AV41" s="130" t="s">
        <v>129</v>
      </c>
      <c r="AW41" s="219" t="s">
        <v>136</v>
      </c>
      <c r="AX41" s="219" t="s">
        <v>56</v>
      </c>
      <c r="AY41" s="235" t="s">
        <v>29</v>
      </c>
      <c r="AZ41" s="235"/>
      <c r="BA41" s="241"/>
      <c r="BB41" s="219" t="s">
        <v>7</v>
      </c>
      <c r="BC41" s="219" t="s">
        <v>137</v>
      </c>
      <c r="BD41" s="219" t="s">
        <v>10</v>
      </c>
      <c r="BE41" s="218" t="s">
        <v>66</v>
      </c>
      <c r="BF41" s="234" t="s">
        <v>9</v>
      </c>
      <c r="BG41" s="235"/>
      <c r="BH41" s="235"/>
      <c r="BI41" s="236"/>
      <c r="BJ41" s="29"/>
      <c r="BK41" s="190" t="s">
        <v>133</v>
      </c>
      <c r="BL41" s="101" t="s">
        <v>6</v>
      </c>
      <c r="BM41" s="103" t="s">
        <v>4</v>
      </c>
      <c r="BN41" s="234" t="s">
        <v>29</v>
      </c>
      <c r="BO41" s="235"/>
      <c r="BP41" s="241"/>
      <c r="BQ41" s="101" t="s">
        <v>7</v>
      </c>
      <c r="BR41" s="101" t="s">
        <v>8</v>
      </c>
      <c r="BS41" s="101" t="s">
        <v>10</v>
      </c>
      <c r="BT41" s="168" t="s">
        <v>66</v>
      </c>
      <c r="BU41" s="234" t="s">
        <v>9</v>
      </c>
      <c r="BV41" s="235"/>
      <c r="BW41" s="235"/>
      <c r="BX41" s="236"/>
    </row>
    <row r="42" spans="3:76" ht="15.6" x14ac:dyDescent="0.3">
      <c r="C42" s="7" t="str">
        <f>C18</f>
        <v>WK-Kniebeuge</v>
      </c>
      <c r="D42" s="8">
        <v>1</v>
      </c>
      <c r="E42" s="8">
        <v>1</v>
      </c>
      <c r="F42" s="33">
        <f>(0.91*D10)-5</f>
        <v>-5</v>
      </c>
      <c r="G42" s="5" t="s">
        <v>3</v>
      </c>
      <c r="H42" s="34">
        <f>(0.91*D10)+5</f>
        <v>5</v>
      </c>
      <c r="I42" s="8">
        <v>8</v>
      </c>
      <c r="J42" s="8" t="s">
        <v>61</v>
      </c>
      <c r="K42" s="8"/>
      <c r="L42" s="185"/>
      <c r="M42" s="237"/>
      <c r="N42" s="238"/>
      <c r="O42" s="238"/>
      <c r="P42" s="239"/>
      <c r="R42" s="151" t="s">
        <v>97</v>
      </c>
      <c r="S42" s="8">
        <v>1</v>
      </c>
      <c r="T42" s="8">
        <v>1</v>
      </c>
      <c r="U42" s="36">
        <f>(0.91*F10)-5</f>
        <v>-5</v>
      </c>
      <c r="V42" s="5" t="s">
        <v>3</v>
      </c>
      <c r="W42" s="34">
        <f>(0.91*F10)+5</f>
        <v>5</v>
      </c>
      <c r="X42" s="8">
        <v>8</v>
      </c>
      <c r="Y42" s="8" t="s">
        <v>62</v>
      </c>
      <c r="Z42" s="8"/>
      <c r="AA42" s="185"/>
      <c r="AB42" s="237"/>
      <c r="AC42" s="238"/>
      <c r="AD42" s="238"/>
      <c r="AE42" s="239"/>
      <c r="AG42" s="151" t="s">
        <v>98</v>
      </c>
      <c r="AH42" s="8">
        <v>1</v>
      </c>
      <c r="AI42" s="8">
        <v>1</v>
      </c>
      <c r="AJ42" s="33">
        <f>(0.93*H10)-5</f>
        <v>-5</v>
      </c>
      <c r="AK42" s="5" t="s">
        <v>3</v>
      </c>
      <c r="AL42" s="34">
        <f>(0.93*H10)+5</f>
        <v>5</v>
      </c>
      <c r="AM42" s="8">
        <v>9</v>
      </c>
      <c r="AN42" s="8" t="s">
        <v>40</v>
      </c>
      <c r="AO42" s="8"/>
      <c r="AP42" s="185"/>
      <c r="AQ42" s="237"/>
      <c r="AR42" s="238"/>
      <c r="AS42" s="238"/>
      <c r="AT42" s="239"/>
      <c r="AV42" s="151" t="s">
        <v>95</v>
      </c>
      <c r="AW42" s="8">
        <v>4</v>
      </c>
      <c r="AX42" s="8">
        <v>2</v>
      </c>
      <c r="AY42" s="33">
        <f>(0.87*D10)-5</f>
        <v>-5</v>
      </c>
      <c r="AZ42" s="5" t="s">
        <v>3</v>
      </c>
      <c r="BA42" s="34">
        <f>(0.87*D10)+5</f>
        <v>5</v>
      </c>
      <c r="BB42" s="8">
        <v>8</v>
      </c>
      <c r="BC42" s="8" t="s">
        <v>61</v>
      </c>
      <c r="BD42" s="8"/>
      <c r="BE42" s="185"/>
      <c r="BF42" s="237"/>
      <c r="BG42" s="238"/>
      <c r="BH42" s="238"/>
      <c r="BI42" s="239"/>
      <c r="BJ42" s="28"/>
      <c r="BK42" s="193" t="s">
        <v>97</v>
      </c>
      <c r="BL42" s="8">
        <v>3</v>
      </c>
      <c r="BM42" s="8">
        <v>2</v>
      </c>
      <c r="BN42" s="33">
        <f>(0.87*F10)-5</f>
        <v>-5</v>
      </c>
      <c r="BO42" s="5" t="s">
        <v>3</v>
      </c>
      <c r="BP42" s="34">
        <f>(0.87*F10)+5</f>
        <v>5</v>
      </c>
      <c r="BQ42" s="8">
        <v>8</v>
      </c>
      <c r="BR42" s="8" t="s">
        <v>62</v>
      </c>
      <c r="BS42" s="8"/>
      <c r="BT42" s="185"/>
      <c r="BU42" s="237"/>
      <c r="BV42" s="238"/>
      <c r="BW42" s="238"/>
      <c r="BX42" s="239"/>
    </row>
    <row r="43" spans="3:76" ht="15.6" x14ac:dyDescent="0.3">
      <c r="C43" s="7" t="s">
        <v>95</v>
      </c>
      <c r="D43" s="8">
        <v>3</v>
      </c>
      <c r="E43" s="8">
        <v>4</v>
      </c>
      <c r="F43" s="33">
        <f>(0.82*D10)-5</f>
        <v>-5</v>
      </c>
      <c r="G43" s="5" t="s">
        <v>3</v>
      </c>
      <c r="H43" s="34">
        <f>(0.82*D10)+5</f>
        <v>5</v>
      </c>
      <c r="I43" s="8">
        <v>8</v>
      </c>
      <c r="J43" s="8" t="s">
        <v>61</v>
      </c>
      <c r="K43" s="8"/>
      <c r="L43" s="185"/>
      <c r="M43" s="56"/>
      <c r="N43" s="57"/>
      <c r="O43" s="57"/>
      <c r="P43" s="58"/>
      <c r="R43" s="151" t="s">
        <v>97</v>
      </c>
      <c r="S43" s="8">
        <v>3</v>
      </c>
      <c r="T43" s="8">
        <v>4</v>
      </c>
      <c r="U43" s="36">
        <f>(0.8*F10)-5</f>
        <v>-5</v>
      </c>
      <c r="V43" s="5" t="s">
        <v>3</v>
      </c>
      <c r="W43" s="34">
        <f>(0.8*F10)+5</f>
        <v>5</v>
      </c>
      <c r="X43" s="8">
        <v>8</v>
      </c>
      <c r="Y43" s="8" t="s">
        <v>62</v>
      </c>
      <c r="Z43" s="8"/>
      <c r="AA43" s="185"/>
      <c r="AB43" s="56"/>
      <c r="AC43" s="57"/>
      <c r="AD43" s="57"/>
      <c r="AE43" s="58"/>
      <c r="AG43" s="151" t="s">
        <v>98</v>
      </c>
      <c r="AH43" s="8">
        <v>3</v>
      </c>
      <c r="AI43" s="8">
        <v>2</v>
      </c>
      <c r="AJ43" s="33">
        <f>(0.87*H10)-5</f>
        <v>-5</v>
      </c>
      <c r="AK43" s="5" t="s">
        <v>3</v>
      </c>
      <c r="AL43" s="34">
        <f>(0.87*H10)+5</f>
        <v>5</v>
      </c>
      <c r="AM43" s="8">
        <v>8</v>
      </c>
      <c r="AN43" s="8" t="s">
        <v>40</v>
      </c>
      <c r="AO43" s="8"/>
      <c r="AP43" s="185"/>
      <c r="AQ43" s="56"/>
      <c r="AR43" s="57"/>
      <c r="AS43" s="57"/>
      <c r="AT43" s="58"/>
      <c r="AV43" s="7"/>
      <c r="AW43" s="8"/>
      <c r="AX43" s="8"/>
      <c r="AY43" s="33"/>
      <c r="AZ43" s="5" t="s">
        <v>3</v>
      </c>
      <c r="BA43" s="34"/>
      <c r="BB43" s="8"/>
      <c r="BC43" s="8"/>
      <c r="BD43" s="8"/>
      <c r="BE43" s="185"/>
      <c r="BF43" s="56"/>
      <c r="BG43" s="57"/>
      <c r="BH43" s="57"/>
      <c r="BI43" s="58"/>
      <c r="BJ43" s="28"/>
      <c r="BK43" s="193"/>
      <c r="BL43" s="8"/>
      <c r="BM43" s="8"/>
      <c r="BN43" s="33"/>
      <c r="BO43" s="5" t="s">
        <v>3</v>
      </c>
      <c r="BP43" s="34"/>
      <c r="BQ43" s="8"/>
      <c r="BR43" s="8"/>
      <c r="BS43" s="8"/>
      <c r="BT43" s="185"/>
      <c r="BU43" s="56"/>
      <c r="BV43" s="57"/>
      <c r="BW43" s="57"/>
      <c r="BX43" s="58"/>
    </row>
    <row r="44" spans="3:76" ht="15.6" x14ac:dyDescent="0.3">
      <c r="C44" s="9" t="str">
        <f>C20</f>
        <v>Unterkörperübung, unilateral</v>
      </c>
      <c r="D44" s="10">
        <v>2</v>
      </c>
      <c r="E44" s="10">
        <v>6</v>
      </c>
      <c r="F44" s="48"/>
      <c r="G44" s="4" t="s">
        <v>3</v>
      </c>
      <c r="H44" s="39"/>
      <c r="I44" s="32" t="s">
        <v>34</v>
      </c>
      <c r="J44" s="10"/>
      <c r="K44" s="10"/>
      <c r="L44" s="186"/>
      <c r="M44" s="230"/>
      <c r="N44" s="231"/>
      <c r="O44" s="231"/>
      <c r="P44" s="232"/>
      <c r="R44" s="9" t="str">
        <f>R20</f>
        <v>Latzug</v>
      </c>
      <c r="S44" s="10">
        <v>3</v>
      </c>
      <c r="T44" s="32" t="s">
        <v>35</v>
      </c>
      <c r="U44" s="37"/>
      <c r="V44" s="4" t="s">
        <v>3</v>
      </c>
      <c r="W44" s="39"/>
      <c r="X44" s="32" t="s">
        <v>34</v>
      </c>
      <c r="Y44" s="10"/>
      <c r="Z44" s="10"/>
      <c r="AA44" s="186"/>
      <c r="AB44" s="230"/>
      <c r="AC44" s="231"/>
      <c r="AD44" s="231"/>
      <c r="AE44" s="232"/>
      <c r="AG44" s="9" t="str">
        <f>AG20</f>
        <v>3ct. WK-Bankdrücken</v>
      </c>
      <c r="AH44" s="10">
        <v>3</v>
      </c>
      <c r="AI44" s="10">
        <v>2</v>
      </c>
      <c r="AJ44" s="48">
        <f>(0.83*F11)-5</f>
        <v>-5</v>
      </c>
      <c r="AK44" s="4" t="s">
        <v>3</v>
      </c>
      <c r="AL44" s="39">
        <f>(0.83*F11)+5</f>
        <v>5</v>
      </c>
      <c r="AM44" s="10">
        <v>7</v>
      </c>
      <c r="AN44" s="10" t="s">
        <v>62</v>
      </c>
      <c r="AO44" s="10"/>
      <c r="AP44" s="186"/>
      <c r="AQ44" s="230"/>
      <c r="AR44" s="231"/>
      <c r="AS44" s="231"/>
      <c r="AT44" s="232"/>
      <c r="AV44" s="9" t="str">
        <f>AV20</f>
        <v>Kreuzheben - Variation</v>
      </c>
      <c r="AW44" s="10">
        <v>3</v>
      </c>
      <c r="AX44" s="10">
        <v>4</v>
      </c>
      <c r="AY44" s="48">
        <f>IF(AV20="1ct. WK-Kreuzheben",((0.8*H12)-5),((0.8*H11)-5))</f>
        <v>-5</v>
      </c>
      <c r="AZ44" s="4" t="s">
        <v>3</v>
      </c>
      <c r="BA44" s="39">
        <f>IF(AV20="1ct. WK-Kreuzheben",((0.8*H12)+5),((0.8*H11)+5))</f>
        <v>5</v>
      </c>
      <c r="BB44" s="10">
        <v>8</v>
      </c>
      <c r="BC44" s="10" t="s">
        <v>40</v>
      </c>
      <c r="BD44" s="10"/>
      <c r="BE44" s="186"/>
      <c r="BF44" s="230"/>
      <c r="BG44" s="231"/>
      <c r="BH44" s="231"/>
      <c r="BI44" s="232"/>
      <c r="BJ44" s="28"/>
      <c r="BK44" s="194" t="s">
        <v>100</v>
      </c>
      <c r="BL44" s="10">
        <v>2</v>
      </c>
      <c r="BM44" s="10">
        <v>5</v>
      </c>
      <c r="BN44" s="48">
        <f>(0.76*F13)-5</f>
        <v>-5</v>
      </c>
      <c r="BO44" s="4" t="s">
        <v>3</v>
      </c>
      <c r="BP44" s="39">
        <f>(0.76*F13)+5</f>
        <v>5</v>
      </c>
      <c r="BQ44" s="10">
        <v>7</v>
      </c>
      <c r="BR44" s="10" t="s">
        <v>62</v>
      </c>
      <c r="BS44" s="10"/>
      <c r="BT44" s="186"/>
      <c r="BU44" s="230"/>
      <c r="BV44" s="231"/>
      <c r="BW44" s="231"/>
      <c r="BX44" s="232"/>
    </row>
    <row r="45" spans="3:76" ht="15.6" x14ac:dyDescent="0.3">
      <c r="C45" s="7" t="str">
        <f t="shared" ref="C45:C47" si="1">C21</f>
        <v>Rudern</v>
      </c>
      <c r="D45" s="8">
        <v>3</v>
      </c>
      <c r="E45" s="31" t="s">
        <v>35</v>
      </c>
      <c r="F45" s="33"/>
      <c r="G45" s="5" t="s">
        <v>3</v>
      </c>
      <c r="H45" s="34"/>
      <c r="I45" s="35" t="s">
        <v>34</v>
      </c>
      <c r="J45" s="8"/>
      <c r="K45" s="8"/>
      <c r="L45" s="185"/>
      <c r="M45" s="226"/>
      <c r="N45" s="227"/>
      <c r="O45" s="227"/>
      <c r="P45" s="228"/>
      <c r="R45" s="7" t="str">
        <f>R21</f>
        <v>Oberkörper Drückbewegung</v>
      </c>
      <c r="S45" s="8">
        <v>3</v>
      </c>
      <c r="T45" s="8">
        <f>IF(OR(R21="Dips",R21="LH Schulterdrücken"),4,6)</f>
        <v>6</v>
      </c>
      <c r="U45" s="36"/>
      <c r="V45" s="5" t="s">
        <v>3</v>
      </c>
      <c r="W45" s="34"/>
      <c r="X45" s="8">
        <v>8</v>
      </c>
      <c r="Y45" s="8"/>
      <c r="Z45" s="8"/>
      <c r="AA45" s="185"/>
      <c r="AB45" s="226"/>
      <c r="AC45" s="227"/>
      <c r="AD45" s="227"/>
      <c r="AE45" s="228"/>
      <c r="AG45" s="88" t="str">
        <f>AG21</f>
        <v>Kniebeuge - Variation</v>
      </c>
      <c r="AH45" s="83">
        <v>3</v>
      </c>
      <c r="AI45" s="83">
        <v>2</v>
      </c>
      <c r="AJ45" s="84">
        <f>IF(AG21="2ct. WK-Kniebeuge",(D11*0.83)-5,(D12*0.83)-5)</f>
        <v>-5</v>
      </c>
      <c r="AK45" s="85" t="s">
        <v>3</v>
      </c>
      <c r="AL45" s="86">
        <f>IF(AG21="2ct. WK-Kniebeuge",(D11*0.83)+5,(D12*0.83)+5)</f>
        <v>5</v>
      </c>
      <c r="AM45" s="83">
        <v>7</v>
      </c>
      <c r="AN45" s="83" t="s">
        <v>61</v>
      </c>
      <c r="AO45" s="83"/>
      <c r="AP45" s="188"/>
      <c r="AQ45" s="246"/>
      <c r="AR45" s="247"/>
      <c r="AS45" s="247"/>
      <c r="AT45" s="248"/>
      <c r="AV45" s="7" t="str">
        <f>AV21</f>
        <v>Latzug</v>
      </c>
      <c r="AW45" s="8">
        <v>3</v>
      </c>
      <c r="AX45" s="35" t="s">
        <v>35</v>
      </c>
      <c r="AY45" s="33"/>
      <c r="AZ45" s="5" t="s">
        <v>3</v>
      </c>
      <c r="BA45" s="34"/>
      <c r="BB45" s="35" t="s">
        <v>34</v>
      </c>
      <c r="BC45" s="8"/>
      <c r="BD45" s="8"/>
      <c r="BE45" s="185"/>
      <c r="BF45" s="226"/>
      <c r="BG45" s="227"/>
      <c r="BH45" s="227"/>
      <c r="BI45" s="228"/>
      <c r="BJ45" s="28"/>
      <c r="BK45" s="7" t="str">
        <f>BK21</f>
        <v>Oberkörper Drückbewegung</v>
      </c>
      <c r="BL45" s="8">
        <v>2</v>
      </c>
      <c r="BM45" s="8" t="str">
        <f>IF(OR(BK45="Dips",BK45="Military Press"),"5","6-8")</f>
        <v>6-8</v>
      </c>
      <c r="BN45" s="33"/>
      <c r="BO45" s="5" t="s">
        <v>3</v>
      </c>
      <c r="BP45" s="34"/>
      <c r="BQ45" s="35" t="s">
        <v>34</v>
      </c>
      <c r="BR45" s="8"/>
      <c r="BS45" s="8"/>
      <c r="BT45" s="185"/>
      <c r="BU45" s="226"/>
      <c r="BV45" s="227"/>
      <c r="BW45" s="227"/>
      <c r="BX45" s="228"/>
    </row>
    <row r="46" spans="3:76" ht="15.6" x14ac:dyDescent="0.3">
      <c r="C46" s="9" t="str">
        <f t="shared" si="1"/>
        <v>Beinbeuger</v>
      </c>
      <c r="D46" s="10">
        <v>2</v>
      </c>
      <c r="E46" s="32">
        <v>8</v>
      </c>
      <c r="F46" s="48"/>
      <c r="G46" s="4" t="s">
        <v>3</v>
      </c>
      <c r="H46" s="39"/>
      <c r="I46" s="32" t="s">
        <v>34</v>
      </c>
      <c r="J46" s="10"/>
      <c r="K46" s="10"/>
      <c r="L46" s="186"/>
      <c r="M46" s="230"/>
      <c r="N46" s="231"/>
      <c r="O46" s="231"/>
      <c r="P46" s="232"/>
      <c r="R46" s="9" t="str">
        <f>R22</f>
        <v>Hintere Schulter</v>
      </c>
      <c r="S46" s="10">
        <v>3</v>
      </c>
      <c r="T46" s="32" t="s">
        <v>41</v>
      </c>
      <c r="U46" s="37"/>
      <c r="V46" s="4" t="s">
        <v>3</v>
      </c>
      <c r="W46" s="39"/>
      <c r="X46" s="32" t="s">
        <v>34</v>
      </c>
      <c r="Y46" s="10"/>
      <c r="Z46" s="10"/>
      <c r="AA46" s="186"/>
      <c r="AB46" s="230"/>
      <c r="AC46" s="231"/>
      <c r="AD46" s="231"/>
      <c r="AE46" s="232"/>
      <c r="AG46" s="9"/>
      <c r="AH46" s="32"/>
      <c r="AI46" s="10"/>
      <c r="AJ46" s="48"/>
      <c r="AK46" s="4" t="s">
        <v>3</v>
      </c>
      <c r="AL46" s="39"/>
      <c r="AM46" s="32"/>
      <c r="AN46" s="10"/>
      <c r="AO46" s="10"/>
      <c r="AP46" s="186"/>
      <c r="AQ46" s="230"/>
      <c r="AR46" s="231"/>
      <c r="AS46" s="231"/>
      <c r="AT46" s="232"/>
      <c r="AV46" s="9" t="s">
        <v>26</v>
      </c>
      <c r="AW46" s="10">
        <v>3</v>
      </c>
      <c r="AX46" s="10">
        <v>6</v>
      </c>
      <c r="AY46" s="48"/>
      <c r="AZ46" s="4" t="s">
        <v>3</v>
      </c>
      <c r="BA46" s="39"/>
      <c r="BB46" s="32" t="s">
        <v>34</v>
      </c>
      <c r="BC46" s="10"/>
      <c r="BD46" s="10"/>
      <c r="BE46" s="186"/>
      <c r="BF46" s="230"/>
      <c r="BG46" s="231"/>
      <c r="BH46" s="231"/>
      <c r="BI46" s="232"/>
      <c r="BJ46" s="28"/>
      <c r="BK46" s="9" t="str">
        <f>BK22</f>
        <v>Rudern</v>
      </c>
      <c r="BL46" s="10">
        <v>3</v>
      </c>
      <c r="BM46" s="10" t="str">
        <f>IF(OR(BK46="Pendlay Rudern"),"4","6-8")</f>
        <v>6-8</v>
      </c>
      <c r="BN46" s="48"/>
      <c r="BO46" s="4" t="s">
        <v>3</v>
      </c>
      <c r="BP46" s="39"/>
      <c r="BQ46" s="10">
        <v>8</v>
      </c>
      <c r="BR46" s="10"/>
      <c r="BS46" s="10"/>
      <c r="BT46" s="186"/>
      <c r="BU46" s="230"/>
      <c r="BV46" s="231"/>
      <c r="BW46" s="231"/>
      <c r="BX46" s="232"/>
    </row>
    <row r="47" spans="3:76" ht="15.6" x14ac:dyDescent="0.3">
      <c r="C47" s="7" t="str">
        <f t="shared" si="1"/>
        <v>Optional: Unterarmstütz/Ab Roll</v>
      </c>
      <c r="D47" s="8">
        <v>2</v>
      </c>
      <c r="E47" s="8"/>
      <c r="F47" s="33"/>
      <c r="G47" s="5" t="s">
        <v>3</v>
      </c>
      <c r="H47" s="34"/>
      <c r="I47" s="8"/>
      <c r="J47" s="8"/>
      <c r="K47" s="8"/>
      <c r="L47" s="185"/>
      <c r="M47" s="226"/>
      <c r="N47" s="227"/>
      <c r="O47" s="227"/>
      <c r="P47" s="228"/>
      <c r="R47" s="7"/>
      <c r="S47" s="8"/>
      <c r="T47" s="8"/>
      <c r="U47" s="36"/>
      <c r="V47" s="5" t="s">
        <v>3</v>
      </c>
      <c r="W47" s="34"/>
      <c r="X47" s="8"/>
      <c r="Y47" s="8"/>
      <c r="Z47" s="8"/>
      <c r="AA47" s="185"/>
      <c r="AB47" s="226"/>
      <c r="AC47" s="227"/>
      <c r="AD47" s="227"/>
      <c r="AE47" s="228"/>
      <c r="AG47" s="7"/>
      <c r="AH47" s="35"/>
      <c r="AI47" s="8"/>
      <c r="AJ47" s="33"/>
      <c r="AK47" s="5" t="s">
        <v>3</v>
      </c>
      <c r="AL47" s="34"/>
      <c r="AM47" s="35"/>
      <c r="AN47" s="8"/>
      <c r="AO47" s="8"/>
      <c r="AP47" s="185"/>
      <c r="AQ47" s="226"/>
      <c r="AR47" s="227"/>
      <c r="AS47" s="227"/>
      <c r="AT47" s="228"/>
      <c r="AV47" s="151" t="s">
        <v>96</v>
      </c>
      <c r="AW47" s="8">
        <v>2</v>
      </c>
      <c r="AX47" s="8"/>
      <c r="AY47" s="33"/>
      <c r="AZ47" s="5" t="s">
        <v>3</v>
      </c>
      <c r="BA47" s="34"/>
      <c r="BB47" s="8"/>
      <c r="BC47" s="8"/>
      <c r="BD47" s="8"/>
      <c r="BE47" s="185"/>
      <c r="BF47" s="226"/>
      <c r="BG47" s="227"/>
      <c r="BH47" s="227"/>
      <c r="BI47" s="228"/>
      <c r="BJ47" s="28"/>
      <c r="BK47" s="7" t="str">
        <f>BK23</f>
        <v>Hintere Schulter</v>
      </c>
      <c r="BL47" s="8">
        <v>3</v>
      </c>
      <c r="BM47" s="35" t="s">
        <v>41</v>
      </c>
      <c r="BN47" s="33"/>
      <c r="BO47" s="5" t="s">
        <v>3</v>
      </c>
      <c r="BP47" s="34"/>
      <c r="BQ47" s="35" t="s">
        <v>34</v>
      </c>
      <c r="BR47" s="8"/>
      <c r="BS47" s="8"/>
      <c r="BT47" s="185"/>
      <c r="BU47" s="226"/>
      <c r="BV47" s="227"/>
      <c r="BW47" s="227"/>
      <c r="BX47" s="228"/>
    </row>
    <row r="48" spans="3:76" ht="15.6" x14ac:dyDescent="0.3">
      <c r="C48" s="9"/>
      <c r="D48" s="10"/>
      <c r="E48" s="10"/>
      <c r="F48" s="48"/>
      <c r="G48" s="4" t="s">
        <v>3</v>
      </c>
      <c r="H48" s="39"/>
      <c r="I48" s="10"/>
      <c r="J48" s="10"/>
      <c r="K48" s="10"/>
      <c r="L48" s="186"/>
      <c r="M48" s="230"/>
      <c r="N48" s="231"/>
      <c r="O48" s="231"/>
      <c r="P48" s="232"/>
      <c r="R48" s="9"/>
      <c r="S48" s="10"/>
      <c r="T48" s="10"/>
      <c r="U48" s="37"/>
      <c r="V48" s="4" t="s">
        <v>3</v>
      </c>
      <c r="W48" s="39"/>
      <c r="X48" s="10"/>
      <c r="Y48" s="10"/>
      <c r="Z48" s="10"/>
      <c r="AA48" s="186"/>
      <c r="AB48" s="230"/>
      <c r="AC48" s="231"/>
      <c r="AD48" s="231"/>
      <c r="AE48" s="232"/>
      <c r="AG48" s="9"/>
      <c r="AH48" s="10"/>
      <c r="AI48" s="10"/>
      <c r="AJ48" s="48"/>
      <c r="AK48" s="4" t="s">
        <v>3</v>
      </c>
      <c r="AL48" s="39"/>
      <c r="AM48" s="10"/>
      <c r="AN48" s="10"/>
      <c r="AO48" s="10"/>
      <c r="AP48" s="186"/>
      <c r="AQ48" s="230"/>
      <c r="AR48" s="231"/>
      <c r="AS48" s="231"/>
      <c r="AT48" s="232"/>
      <c r="AV48" s="9"/>
      <c r="AW48" s="10"/>
      <c r="AX48" s="10"/>
      <c r="AY48" s="48"/>
      <c r="AZ48" s="4" t="s">
        <v>3</v>
      </c>
      <c r="BA48" s="39"/>
      <c r="BB48" s="10"/>
      <c r="BC48" s="10"/>
      <c r="BD48" s="10"/>
      <c r="BE48" s="186"/>
      <c r="BF48" s="230"/>
      <c r="BG48" s="231"/>
      <c r="BH48" s="231"/>
      <c r="BI48" s="232"/>
      <c r="BJ48" s="28"/>
      <c r="BK48" s="9"/>
      <c r="BL48" s="10"/>
      <c r="BM48" s="10"/>
      <c r="BN48" s="48"/>
      <c r="BO48" s="4" t="s">
        <v>3</v>
      </c>
      <c r="BP48" s="39"/>
      <c r="BQ48" s="10"/>
      <c r="BR48" s="10"/>
      <c r="BS48" s="10"/>
      <c r="BT48" s="186"/>
      <c r="BU48" s="230"/>
      <c r="BV48" s="231"/>
      <c r="BW48" s="231"/>
      <c r="BX48" s="232"/>
    </row>
    <row r="49" spans="3:76" ht="16.2" thickBot="1" x14ac:dyDescent="0.35">
      <c r="C49" s="11"/>
      <c r="D49" s="12"/>
      <c r="E49" s="12"/>
      <c r="F49" s="49"/>
      <c r="G49" s="6" t="s">
        <v>3</v>
      </c>
      <c r="H49" s="40"/>
      <c r="I49" s="12"/>
      <c r="J49" s="12"/>
      <c r="K49" s="12"/>
      <c r="L49" s="187"/>
      <c r="M49" s="220"/>
      <c r="N49" s="221"/>
      <c r="O49" s="221"/>
      <c r="P49" s="222"/>
      <c r="R49" s="11"/>
      <c r="S49" s="12"/>
      <c r="T49" s="12"/>
      <c r="U49" s="38"/>
      <c r="V49" s="6" t="s">
        <v>3</v>
      </c>
      <c r="W49" s="40"/>
      <c r="X49" s="12"/>
      <c r="Y49" s="12"/>
      <c r="Z49" s="12"/>
      <c r="AA49" s="187"/>
      <c r="AB49" s="220"/>
      <c r="AC49" s="221"/>
      <c r="AD49" s="221"/>
      <c r="AE49" s="222"/>
      <c r="AG49" s="11"/>
      <c r="AH49" s="12"/>
      <c r="AI49" s="12"/>
      <c r="AJ49" s="49"/>
      <c r="AK49" s="6" t="s">
        <v>3</v>
      </c>
      <c r="AL49" s="40"/>
      <c r="AM49" s="12"/>
      <c r="AN49" s="12"/>
      <c r="AO49" s="12"/>
      <c r="AP49" s="187"/>
      <c r="AQ49" s="220"/>
      <c r="AR49" s="221"/>
      <c r="AS49" s="221"/>
      <c r="AT49" s="222"/>
      <c r="AV49" s="11"/>
      <c r="AW49" s="12"/>
      <c r="AX49" s="12"/>
      <c r="AY49" s="49"/>
      <c r="AZ49" s="6" t="s">
        <v>3</v>
      </c>
      <c r="BA49" s="40"/>
      <c r="BB49" s="12"/>
      <c r="BC49" s="12"/>
      <c r="BD49" s="12"/>
      <c r="BE49" s="187"/>
      <c r="BF49" s="220"/>
      <c r="BG49" s="221"/>
      <c r="BH49" s="221"/>
      <c r="BI49" s="222"/>
      <c r="BJ49" s="28"/>
      <c r="BK49" s="11"/>
      <c r="BL49" s="12"/>
      <c r="BM49" s="12"/>
      <c r="BN49" s="49"/>
      <c r="BO49" s="6" t="s">
        <v>3</v>
      </c>
      <c r="BP49" s="40"/>
      <c r="BQ49" s="12"/>
      <c r="BR49" s="12"/>
      <c r="BS49" s="12"/>
      <c r="BT49" s="187"/>
      <c r="BU49" s="220"/>
      <c r="BV49" s="221"/>
      <c r="BW49" s="221"/>
      <c r="BX49" s="222"/>
    </row>
    <row r="51" spans="3:76" ht="15" thickBot="1" x14ac:dyDescent="0.35"/>
    <row r="52" spans="3:76" ht="24" thickBot="1" x14ac:dyDescent="0.35">
      <c r="C52" s="102" t="s">
        <v>12</v>
      </c>
      <c r="D52" s="1"/>
      <c r="E52" s="1"/>
      <c r="F52" s="47"/>
      <c r="G52" s="1"/>
      <c r="H52" s="50"/>
      <c r="I52" s="55"/>
      <c r="J52" s="55"/>
      <c r="K52" s="1"/>
      <c r="L52" s="1"/>
      <c r="M52" s="1"/>
      <c r="N52" s="1"/>
      <c r="O52" s="1"/>
      <c r="P52" s="1"/>
      <c r="AM52" s="55"/>
      <c r="AN52" s="55"/>
      <c r="BQ52" s="55"/>
      <c r="BR52" s="55"/>
    </row>
    <row r="53" spans="3:76" ht="18.600000000000001" thickBot="1" x14ac:dyDescent="0.4">
      <c r="C53" s="130" t="s">
        <v>118</v>
      </c>
      <c r="D53" s="219" t="s">
        <v>136</v>
      </c>
      <c r="E53" s="219" t="s">
        <v>56</v>
      </c>
      <c r="F53" s="235" t="s">
        <v>29</v>
      </c>
      <c r="G53" s="235"/>
      <c r="H53" s="241"/>
      <c r="I53" s="219" t="s">
        <v>7</v>
      </c>
      <c r="J53" s="219" t="s">
        <v>137</v>
      </c>
      <c r="K53" s="219" t="s">
        <v>10</v>
      </c>
      <c r="L53" s="218" t="s">
        <v>66</v>
      </c>
      <c r="M53" s="234" t="s">
        <v>9</v>
      </c>
      <c r="N53" s="235"/>
      <c r="O53" s="235"/>
      <c r="P53" s="236"/>
      <c r="R53" s="130" t="s">
        <v>122</v>
      </c>
      <c r="S53" s="219" t="s">
        <v>136</v>
      </c>
      <c r="T53" s="219" t="s">
        <v>56</v>
      </c>
      <c r="U53" s="235" t="s">
        <v>29</v>
      </c>
      <c r="V53" s="235"/>
      <c r="W53" s="241"/>
      <c r="X53" s="219" t="s">
        <v>7</v>
      </c>
      <c r="Y53" s="219" t="s">
        <v>137</v>
      </c>
      <c r="Z53" s="219" t="s">
        <v>10</v>
      </c>
      <c r="AA53" s="218" t="s">
        <v>66</v>
      </c>
      <c r="AB53" s="234" t="s">
        <v>9</v>
      </c>
      <c r="AC53" s="235"/>
      <c r="AD53" s="235"/>
      <c r="AE53" s="236"/>
      <c r="AG53" s="130" t="s">
        <v>126</v>
      </c>
      <c r="AH53" s="219" t="s">
        <v>136</v>
      </c>
      <c r="AI53" s="219" t="s">
        <v>56</v>
      </c>
      <c r="AJ53" s="235" t="s">
        <v>29</v>
      </c>
      <c r="AK53" s="235"/>
      <c r="AL53" s="241"/>
      <c r="AM53" s="219" t="s">
        <v>7</v>
      </c>
      <c r="AN53" s="219" t="s">
        <v>137</v>
      </c>
      <c r="AO53" s="219" t="s">
        <v>10</v>
      </c>
      <c r="AP53" s="218" t="s">
        <v>66</v>
      </c>
      <c r="AQ53" s="234" t="s">
        <v>9</v>
      </c>
      <c r="AR53" s="235"/>
      <c r="AS53" s="235"/>
      <c r="AT53" s="236"/>
      <c r="AV53" s="130" t="s">
        <v>130</v>
      </c>
      <c r="AW53" s="219" t="s">
        <v>136</v>
      </c>
      <c r="AX53" s="219" t="s">
        <v>56</v>
      </c>
      <c r="AY53" s="235" t="s">
        <v>29</v>
      </c>
      <c r="AZ53" s="235"/>
      <c r="BA53" s="241"/>
      <c r="BB53" s="219" t="s">
        <v>7</v>
      </c>
      <c r="BC53" s="219" t="s">
        <v>137</v>
      </c>
      <c r="BD53" s="219" t="s">
        <v>10</v>
      </c>
      <c r="BE53" s="218" t="s">
        <v>66</v>
      </c>
      <c r="BF53" s="234" t="s">
        <v>9</v>
      </c>
      <c r="BG53" s="235"/>
      <c r="BH53" s="235"/>
      <c r="BI53" s="236"/>
      <c r="BJ53" s="29"/>
      <c r="BK53" s="190" t="s">
        <v>134</v>
      </c>
      <c r="BL53" s="101" t="s">
        <v>6</v>
      </c>
      <c r="BM53" s="103" t="s">
        <v>4</v>
      </c>
      <c r="BN53" s="234" t="s">
        <v>29</v>
      </c>
      <c r="BO53" s="235"/>
      <c r="BP53" s="241"/>
      <c r="BQ53" s="101" t="s">
        <v>7</v>
      </c>
      <c r="BR53" s="101" t="s">
        <v>8</v>
      </c>
      <c r="BS53" s="101" t="s">
        <v>10</v>
      </c>
      <c r="BT53" s="168" t="s">
        <v>66</v>
      </c>
      <c r="BU53" s="234" t="s">
        <v>9</v>
      </c>
      <c r="BV53" s="235"/>
      <c r="BW53" s="235"/>
      <c r="BX53" s="236"/>
    </row>
    <row r="54" spans="3:76" ht="15.6" x14ac:dyDescent="0.3">
      <c r="C54" s="7" t="str">
        <f>C18</f>
        <v>WK-Kniebeuge</v>
      </c>
      <c r="D54" s="8">
        <v>1</v>
      </c>
      <c r="E54" s="8">
        <v>1</v>
      </c>
      <c r="F54" s="33">
        <f>(0.95*D10)-5</f>
        <v>-5</v>
      </c>
      <c r="G54" s="5" t="s">
        <v>3</v>
      </c>
      <c r="H54" s="34">
        <f>(0.95*D10)+5</f>
        <v>5</v>
      </c>
      <c r="I54" s="8">
        <v>9</v>
      </c>
      <c r="J54" s="8" t="s">
        <v>61</v>
      </c>
      <c r="K54" s="8"/>
      <c r="L54" s="185"/>
      <c r="M54" s="237"/>
      <c r="N54" s="238"/>
      <c r="O54" s="238"/>
      <c r="P54" s="239"/>
      <c r="R54" s="151" t="s">
        <v>97</v>
      </c>
      <c r="S54" s="8">
        <v>1</v>
      </c>
      <c r="T54" s="8">
        <v>1</v>
      </c>
      <c r="U54" s="33">
        <f>(0.95*F10)-5</f>
        <v>-5</v>
      </c>
      <c r="V54" s="5" t="s">
        <v>3</v>
      </c>
      <c r="W54" s="34">
        <f>(0.95*F10)+5</f>
        <v>5</v>
      </c>
      <c r="X54" s="8">
        <v>9</v>
      </c>
      <c r="Y54" s="8" t="s">
        <v>62</v>
      </c>
      <c r="Z54" s="8"/>
      <c r="AA54" s="185"/>
      <c r="AB54" s="237"/>
      <c r="AC54" s="238"/>
      <c r="AD54" s="238"/>
      <c r="AE54" s="239"/>
      <c r="AG54" s="151" t="s">
        <v>98</v>
      </c>
      <c r="AH54" s="8">
        <v>1</v>
      </c>
      <c r="AI54" s="8">
        <v>1</v>
      </c>
      <c r="AJ54" s="33">
        <f>(0.88*H10)-5</f>
        <v>-5</v>
      </c>
      <c r="AK54" s="5" t="s">
        <v>3</v>
      </c>
      <c r="AL54" s="34">
        <f>(0.88*H10)+5</f>
        <v>5</v>
      </c>
      <c r="AM54" s="35" t="s">
        <v>30</v>
      </c>
      <c r="AN54" s="8" t="s">
        <v>40</v>
      </c>
      <c r="AO54" s="8"/>
      <c r="AP54" s="185"/>
      <c r="AQ54" s="237"/>
      <c r="AR54" s="238"/>
      <c r="AS54" s="238"/>
      <c r="AT54" s="239"/>
      <c r="AV54" s="151" t="s">
        <v>95</v>
      </c>
      <c r="AW54" s="8">
        <v>3</v>
      </c>
      <c r="AX54" s="8">
        <v>2</v>
      </c>
      <c r="AY54" s="33">
        <f>(0.89*D10)-5</f>
        <v>-5</v>
      </c>
      <c r="AZ54" s="5" t="s">
        <v>3</v>
      </c>
      <c r="BA54" s="34">
        <f>(0.89*D10)+5</f>
        <v>5</v>
      </c>
      <c r="BB54" s="35" t="s">
        <v>34</v>
      </c>
      <c r="BC54" s="8" t="s">
        <v>61</v>
      </c>
      <c r="BD54" s="8"/>
      <c r="BE54" s="185"/>
      <c r="BF54" s="237"/>
      <c r="BG54" s="238"/>
      <c r="BH54" s="238"/>
      <c r="BI54" s="239"/>
      <c r="BJ54" s="28"/>
      <c r="BK54" s="193" t="s">
        <v>97</v>
      </c>
      <c r="BL54" s="8">
        <v>3</v>
      </c>
      <c r="BM54" s="8">
        <v>2</v>
      </c>
      <c r="BN54" s="33">
        <f>(0.89*F10)-5</f>
        <v>-5</v>
      </c>
      <c r="BO54" s="5" t="s">
        <v>3</v>
      </c>
      <c r="BP54" s="34">
        <f>(0.89*F10)+5</f>
        <v>5</v>
      </c>
      <c r="BQ54" s="35" t="s">
        <v>34</v>
      </c>
      <c r="BR54" s="8" t="s">
        <v>62</v>
      </c>
      <c r="BS54" s="8"/>
      <c r="BT54" s="185"/>
      <c r="BU54" s="237"/>
      <c r="BV54" s="238"/>
      <c r="BW54" s="238"/>
      <c r="BX54" s="239"/>
    </row>
    <row r="55" spans="3:76" ht="15.6" x14ac:dyDescent="0.3">
      <c r="C55" s="43" t="str">
        <f>C18</f>
        <v>WK-Kniebeuge</v>
      </c>
      <c r="D55" s="8">
        <v>3</v>
      </c>
      <c r="E55" s="8">
        <v>3</v>
      </c>
      <c r="F55" s="33">
        <f>(0.85*D10)-5</f>
        <v>-5</v>
      </c>
      <c r="G55" s="5" t="s">
        <v>3</v>
      </c>
      <c r="H55" s="34">
        <f>(0.85*D10)+5</f>
        <v>5</v>
      </c>
      <c r="I55" s="35">
        <v>8</v>
      </c>
      <c r="J55" s="8" t="s">
        <v>61</v>
      </c>
      <c r="K55" s="8"/>
      <c r="L55" s="185"/>
      <c r="M55" s="226"/>
      <c r="N55" s="227"/>
      <c r="O55" s="227"/>
      <c r="P55" s="228"/>
      <c r="R55" s="151" t="s">
        <v>97</v>
      </c>
      <c r="S55" s="8">
        <v>3</v>
      </c>
      <c r="T55" s="8">
        <v>3</v>
      </c>
      <c r="U55" s="33">
        <f>(0.83*F10)-5</f>
        <v>-5</v>
      </c>
      <c r="V55" s="5" t="s">
        <v>3</v>
      </c>
      <c r="W55" s="34">
        <f>(0.83*F10)+5</f>
        <v>5</v>
      </c>
      <c r="X55" s="8">
        <v>8</v>
      </c>
      <c r="Y55" s="8" t="s">
        <v>62</v>
      </c>
      <c r="Z55" s="8"/>
      <c r="AA55" s="185"/>
      <c r="AB55" s="226"/>
      <c r="AC55" s="227"/>
      <c r="AD55" s="227"/>
      <c r="AE55" s="228"/>
      <c r="AG55" s="151" t="s">
        <v>98</v>
      </c>
      <c r="AH55" s="8">
        <v>3</v>
      </c>
      <c r="AI55" s="8">
        <v>2</v>
      </c>
      <c r="AJ55" s="33">
        <f>(0.87*H10)-5</f>
        <v>-5</v>
      </c>
      <c r="AK55" s="5" t="s">
        <v>3</v>
      </c>
      <c r="AL55" s="34">
        <f>(0.87*H10)+5</f>
        <v>5</v>
      </c>
      <c r="AM55" s="35">
        <v>8</v>
      </c>
      <c r="AN55" s="8" t="s">
        <v>40</v>
      </c>
      <c r="AO55" s="8"/>
      <c r="AP55" s="185"/>
      <c r="AQ55" s="226"/>
      <c r="AR55" s="227"/>
      <c r="AS55" s="227"/>
      <c r="AT55" s="228"/>
      <c r="AV55" s="7"/>
      <c r="AW55" s="8"/>
      <c r="AX55" s="8"/>
      <c r="AY55" s="33"/>
      <c r="AZ55" s="5" t="s">
        <v>3</v>
      </c>
      <c r="BA55" s="34"/>
      <c r="BB55" s="8"/>
      <c r="BC55" s="8"/>
      <c r="BD55" s="8"/>
      <c r="BE55" s="185"/>
      <c r="BF55" s="226"/>
      <c r="BG55" s="227"/>
      <c r="BH55" s="227"/>
      <c r="BI55" s="228"/>
      <c r="BK55" s="193"/>
      <c r="BL55" s="8"/>
      <c r="BM55" s="8"/>
      <c r="BN55" s="33"/>
      <c r="BO55" s="5" t="s">
        <v>3</v>
      </c>
      <c r="BP55" s="34"/>
      <c r="BQ55" s="35"/>
      <c r="BR55" s="8"/>
      <c r="BS55" s="72"/>
      <c r="BT55" s="72"/>
      <c r="BU55" s="70"/>
      <c r="BV55" s="70"/>
      <c r="BW55" s="70"/>
      <c r="BX55" s="71"/>
    </row>
    <row r="56" spans="3:76" ht="15.6" x14ac:dyDescent="0.3">
      <c r="C56" s="9" t="str">
        <f>C20</f>
        <v>Unterkörperübung, unilateral</v>
      </c>
      <c r="D56" s="10">
        <v>2</v>
      </c>
      <c r="E56" s="10">
        <v>6</v>
      </c>
      <c r="F56" s="48"/>
      <c r="G56" s="4" t="s">
        <v>3</v>
      </c>
      <c r="H56" s="39"/>
      <c r="I56" s="32" t="s">
        <v>34</v>
      </c>
      <c r="J56" s="10"/>
      <c r="K56" s="10"/>
      <c r="L56" s="186"/>
      <c r="M56" s="64"/>
      <c r="N56" s="65"/>
      <c r="O56" s="65"/>
      <c r="P56" s="66"/>
      <c r="R56" s="9" t="str">
        <f>R20</f>
        <v>Latzug</v>
      </c>
      <c r="S56" s="10">
        <v>2</v>
      </c>
      <c r="T56" s="32" t="s">
        <v>35</v>
      </c>
      <c r="U56" s="74"/>
      <c r="V56" s="4" t="s">
        <v>3</v>
      </c>
      <c r="W56" s="76"/>
      <c r="X56" s="32" t="s">
        <v>34</v>
      </c>
      <c r="Y56" s="10"/>
      <c r="Z56" s="10"/>
      <c r="AA56" s="186"/>
      <c r="AB56" s="230"/>
      <c r="AC56" s="231"/>
      <c r="AD56" s="231"/>
      <c r="AE56" s="232"/>
      <c r="AG56" s="9" t="str">
        <f>AG20</f>
        <v>3ct. WK-Bankdrücken</v>
      </c>
      <c r="AH56" s="10">
        <v>3</v>
      </c>
      <c r="AI56" s="10">
        <v>2</v>
      </c>
      <c r="AJ56" s="48">
        <f>(0.83*F11)-5</f>
        <v>-5</v>
      </c>
      <c r="AK56" s="4" t="s">
        <v>3</v>
      </c>
      <c r="AL56" s="39">
        <f>(0.83*F11)+5</f>
        <v>5</v>
      </c>
      <c r="AM56" s="10">
        <v>7</v>
      </c>
      <c r="AN56" s="10" t="s">
        <v>62</v>
      </c>
      <c r="AO56" s="10"/>
      <c r="AP56" s="186"/>
      <c r="AQ56" s="230"/>
      <c r="AR56" s="231"/>
      <c r="AS56" s="231"/>
      <c r="AT56" s="232"/>
      <c r="AV56" s="9" t="str">
        <f>AV20</f>
        <v>Kreuzheben - Variation</v>
      </c>
      <c r="AW56" s="10">
        <v>3</v>
      </c>
      <c r="AX56" s="10">
        <v>3</v>
      </c>
      <c r="AY56" s="48">
        <f>IF(AV20="1ct. WK-Kreuzheben",((0.82*H12)-5),((0.82*H11)-5))</f>
        <v>-5</v>
      </c>
      <c r="AZ56" s="4" t="s">
        <v>3</v>
      </c>
      <c r="BA56" s="39">
        <f>IF(AV20="1ct. WK-Kreuzheben",((0.82*H12)+5),((0.82*H11)+5))</f>
        <v>5</v>
      </c>
      <c r="BB56" s="10">
        <v>8</v>
      </c>
      <c r="BC56" s="10" t="s">
        <v>40</v>
      </c>
      <c r="BD56" s="10"/>
      <c r="BE56" s="186"/>
      <c r="BF56" s="230"/>
      <c r="BG56" s="231"/>
      <c r="BH56" s="231"/>
      <c r="BI56" s="232"/>
      <c r="BJ56" s="28"/>
      <c r="BK56" s="194" t="s">
        <v>100</v>
      </c>
      <c r="BL56" s="10">
        <v>2</v>
      </c>
      <c r="BM56" s="10">
        <v>5</v>
      </c>
      <c r="BN56" s="48">
        <f>(0.78*F13)-5</f>
        <v>-5</v>
      </c>
      <c r="BO56" s="4" t="s">
        <v>3</v>
      </c>
      <c r="BP56" s="39">
        <f>(0.78*F13)+5</f>
        <v>5</v>
      </c>
      <c r="BQ56" s="10">
        <v>8</v>
      </c>
      <c r="BR56" s="10" t="s">
        <v>62</v>
      </c>
      <c r="BS56" s="10"/>
      <c r="BT56" s="186"/>
      <c r="BU56" s="230"/>
      <c r="BV56" s="231"/>
      <c r="BW56" s="231"/>
      <c r="BX56" s="232"/>
    </row>
    <row r="57" spans="3:76" ht="15.6" x14ac:dyDescent="0.3">
      <c r="C57" s="7" t="str">
        <f>C21</f>
        <v>Rudern</v>
      </c>
      <c r="D57" s="8">
        <v>2</v>
      </c>
      <c r="E57" s="31" t="s">
        <v>35</v>
      </c>
      <c r="F57" s="33"/>
      <c r="G57" s="5" t="s">
        <v>3</v>
      </c>
      <c r="H57" s="34"/>
      <c r="I57" s="35" t="s">
        <v>34</v>
      </c>
      <c r="J57" s="8"/>
      <c r="K57" s="8"/>
      <c r="L57" s="185"/>
      <c r="M57" s="56"/>
      <c r="N57" s="57"/>
      <c r="O57" s="57"/>
      <c r="P57" s="58"/>
      <c r="R57" s="7" t="str">
        <f>R21</f>
        <v>Oberkörper Drückbewegung</v>
      </c>
      <c r="S57" s="8">
        <v>2</v>
      </c>
      <c r="T57" s="8">
        <f>IF(OR(R21="Dips",R21="LH Schulterdrücken"),4,6)</f>
        <v>6</v>
      </c>
      <c r="U57" s="59"/>
      <c r="V57" s="5" t="s">
        <v>3</v>
      </c>
      <c r="W57" s="60"/>
      <c r="X57" s="8">
        <v>9</v>
      </c>
      <c r="Y57" s="8"/>
      <c r="Z57" s="8"/>
      <c r="AA57" s="185"/>
      <c r="AB57" s="56"/>
      <c r="AC57" s="57"/>
      <c r="AD57" s="57"/>
      <c r="AE57" s="58"/>
      <c r="AG57" s="88" t="str">
        <f>AG21</f>
        <v>Kniebeuge - Variation</v>
      </c>
      <c r="AH57" s="83">
        <v>3</v>
      </c>
      <c r="AI57" s="83">
        <v>2</v>
      </c>
      <c r="AJ57" s="84">
        <f>IF(AG21="2ct. WK-Kniebeuge",(D11*0.83)-5,(D12*0.83)-5)</f>
        <v>-5</v>
      </c>
      <c r="AK57" s="85" t="s">
        <v>3</v>
      </c>
      <c r="AL57" s="86">
        <f>IF(AG21="2ct. WK-Kniebeuge",(D11*0.83)+5,(D12*0.83)+5)</f>
        <v>5</v>
      </c>
      <c r="AM57" s="83">
        <v>7</v>
      </c>
      <c r="AN57" s="83" t="s">
        <v>61</v>
      </c>
      <c r="AO57" s="83"/>
      <c r="AP57" s="188"/>
      <c r="AQ57" s="246"/>
      <c r="AR57" s="247"/>
      <c r="AS57" s="247"/>
      <c r="AT57" s="248"/>
      <c r="AV57" s="7" t="str">
        <f>AV21</f>
        <v>Latzug</v>
      </c>
      <c r="AW57" s="8">
        <v>2</v>
      </c>
      <c r="AX57" s="35" t="s">
        <v>35</v>
      </c>
      <c r="AY57" s="33"/>
      <c r="AZ57" s="5" t="s">
        <v>3</v>
      </c>
      <c r="BA57" s="34"/>
      <c r="BB57" s="35" t="s">
        <v>34</v>
      </c>
      <c r="BC57" s="8"/>
      <c r="BD57" s="8"/>
      <c r="BE57" s="185"/>
      <c r="BF57" s="56"/>
      <c r="BG57" s="57"/>
      <c r="BH57" s="57"/>
      <c r="BI57" s="58"/>
      <c r="BJ57" s="28"/>
      <c r="BK57" s="7" t="str">
        <f>BK21</f>
        <v>Oberkörper Drückbewegung</v>
      </c>
      <c r="BL57" s="8">
        <v>2</v>
      </c>
      <c r="BM57" s="8" t="str">
        <f>IF(OR(BK57="Dips",BK57="Military Press"),"5","6-8")</f>
        <v>6-8</v>
      </c>
      <c r="BN57" s="33"/>
      <c r="BO57" s="5" t="s">
        <v>3</v>
      </c>
      <c r="BP57" s="34"/>
      <c r="BQ57" s="35" t="s">
        <v>34</v>
      </c>
      <c r="BR57" s="8"/>
      <c r="BS57" s="8"/>
      <c r="BT57" s="185"/>
      <c r="BU57" s="56"/>
      <c r="BV57" s="57"/>
      <c r="BW57" s="57"/>
      <c r="BX57" s="58"/>
    </row>
    <row r="58" spans="3:76" ht="15.6" x14ac:dyDescent="0.3">
      <c r="C58" s="9" t="str">
        <f>C22</f>
        <v>Beinbeuger</v>
      </c>
      <c r="D58" s="10">
        <v>2</v>
      </c>
      <c r="E58" s="32">
        <v>8</v>
      </c>
      <c r="F58" s="48"/>
      <c r="G58" s="4" t="s">
        <v>3</v>
      </c>
      <c r="H58" s="39"/>
      <c r="I58" s="32" t="s">
        <v>34</v>
      </c>
      <c r="J58" s="10"/>
      <c r="K58" s="10"/>
      <c r="L58" s="186"/>
      <c r="M58" s="64"/>
      <c r="N58" s="65"/>
      <c r="O58" s="65"/>
      <c r="P58" s="66"/>
      <c r="R58" s="9" t="str">
        <f>R22</f>
        <v>Hintere Schulter</v>
      </c>
      <c r="S58" s="10">
        <v>2</v>
      </c>
      <c r="T58" s="32" t="s">
        <v>41</v>
      </c>
      <c r="U58" s="74"/>
      <c r="V58" s="4" t="s">
        <v>3</v>
      </c>
      <c r="W58" s="76"/>
      <c r="X58" s="32" t="s">
        <v>34</v>
      </c>
      <c r="Y58" s="10"/>
      <c r="Z58" s="10"/>
      <c r="AA58" s="186"/>
      <c r="AB58" s="64"/>
      <c r="AC58" s="65"/>
      <c r="AD58" s="65"/>
      <c r="AE58" s="66"/>
      <c r="AG58" s="9"/>
      <c r="AH58" s="32"/>
      <c r="AI58" s="10"/>
      <c r="AJ58" s="48"/>
      <c r="AK58" s="4" t="s">
        <v>3</v>
      </c>
      <c r="AL58" s="39"/>
      <c r="AM58" s="32"/>
      <c r="AN58" s="10"/>
      <c r="AO58" s="10"/>
      <c r="AP58" s="186"/>
      <c r="AQ58" s="64"/>
      <c r="AR58" s="65"/>
      <c r="AS58" s="65"/>
      <c r="AT58" s="66"/>
      <c r="AV58" s="9" t="s">
        <v>26</v>
      </c>
      <c r="AW58" s="10">
        <v>2</v>
      </c>
      <c r="AX58" s="10">
        <v>6</v>
      </c>
      <c r="AY58" s="48"/>
      <c r="AZ58" s="4" t="s">
        <v>3</v>
      </c>
      <c r="BA58" s="39"/>
      <c r="BB58" s="32" t="s">
        <v>34</v>
      </c>
      <c r="BC58" s="10"/>
      <c r="BD58" s="10"/>
      <c r="BE58" s="186"/>
      <c r="BF58" s="64"/>
      <c r="BG58" s="65"/>
      <c r="BH58" s="65"/>
      <c r="BI58" s="66"/>
      <c r="BJ58" s="28"/>
      <c r="BK58" s="9" t="str">
        <f>BK22</f>
        <v>Rudern</v>
      </c>
      <c r="BL58" s="10">
        <v>2</v>
      </c>
      <c r="BM58" s="10" t="str">
        <f>IF(OR(BK58="Pendlay Rudern"),"4","6-8")</f>
        <v>6-8</v>
      </c>
      <c r="BN58" s="48"/>
      <c r="BO58" s="4" t="s">
        <v>3</v>
      </c>
      <c r="BP58" s="39"/>
      <c r="BQ58" s="10">
        <v>9</v>
      </c>
      <c r="BR58" s="10"/>
      <c r="BS58" s="10"/>
      <c r="BT58" s="186"/>
      <c r="BU58" s="64"/>
      <c r="BV58" s="65"/>
      <c r="BW58" s="65"/>
      <c r="BX58" s="66"/>
    </row>
    <row r="59" spans="3:76" ht="15.6" x14ac:dyDescent="0.3">
      <c r="C59" s="7" t="str">
        <f>C23</f>
        <v>Optional: Unterarmstütz/Ab Roll</v>
      </c>
      <c r="D59" s="8">
        <v>2</v>
      </c>
      <c r="E59" s="8"/>
      <c r="F59" s="33"/>
      <c r="G59" s="5" t="s">
        <v>3</v>
      </c>
      <c r="H59" s="34"/>
      <c r="I59" s="8"/>
      <c r="J59" s="8"/>
      <c r="K59" s="8"/>
      <c r="L59" s="185"/>
      <c r="M59" s="56"/>
      <c r="N59" s="57"/>
      <c r="O59" s="57"/>
      <c r="P59" s="58"/>
      <c r="R59" s="7"/>
      <c r="S59" s="8"/>
      <c r="T59" s="8"/>
      <c r="U59" s="59"/>
      <c r="V59" s="5" t="s">
        <v>3</v>
      </c>
      <c r="W59" s="60"/>
      <c r="X59" s="8"/>
      <c r="Y59" s="8"/>
      <c r="Z59" s="8"/>
      <c r="AA59" s="185"/>
      <c r="AB59" s="56"/>
      <c r="AC59" s="57"/>
      <c r="AD59" s="57"/>
      <c r="AE59" s="58"/>
      <c r="AG59" s="7"/>
      <c r="AH59" s="35"/>
      <c r="AI59" s="8"/>
      <c r="AJ59" s="33"/>
      <c r="AK59" s="5" t="s">
        <v>3</v>
      </c>
      <c r="AL59" s="34"/>
      <c r="AM59" s="35"/>
      <c r="AN59" s="8"/>
      <c r="AO59" s="8"/>
      <c r="AP59" s="185"/>
      <c r="AQ59" s="56"/>
      <c r="AR59" s="57"/>
      <c r="AS59" s="57"/>
      <c r="AT59" s="58"/>
      <c r="AV59" s="151" t="s">
        <v>96</v>
      </c>
      <c r="AW59" s="8">
        <v>2</v>
      </c>
      <c r="AX59" s="8"/>
      <c r="AY59" s="33"/>
      <c r="AZ59" s="5" t="s">
        <v>3</v>
      </c>
      <c r="BA59" s="34"/>
      <c r="BB59" s="8"/>
      <c r="BC59" s="8"/>
      <c r="BD59" s="8"/>
      <c r="BE59" s="185"/>
      <c r="BF59" s="56"/>
      <c r="BG59" s="57"/>
      <c r="BH59" s="57"/>
      <c r="BI59" s="58"/>
      <c r="BJ59" s="28"/>
      <c r="BK59" s="7" t="str">
        <f>BK23</f>
        <v>Hintere Schulter</v>
      </c>
      <c r="BL59" s="8">
        <v>2</v>
      </c>
      <c r="BM59" s="35" t="s">
        <v>41</v>
      </c>
      <c r="BN59" s="33"/>
      <c r="BO59" s="5" t="s">
        <v>3</v>
      </c>
      <c r="BP59" s="34"/>
      <c r="BQ59" s="35" t="s">
        <v>34</v>
      </c>
      <c r="BR59" s="8"/>
      <c r="BS59" s="8"/>
      <c r="BT59" s="185"/>
      <c r="BU59" s="56"/>
      <c r="BV59" s="57"/>
      <c r="BW59" s="57"/>
      <c r="BX59" s="58"/>
    </row>
    <row r="60" spans="3:76" ht="15.6" x14ac:dyDescent="0.3">
      <c r="C60" s="9"/>
      <c r="D60" s="10"/>
      <c r="E60" s="10"/>
      <c r="F60" s="48"/>
      <c r="G60" s="4" t="s">
        <v>3</v>
      </c>
      <c r="H60" s="39"/>
      <c r="I60" s="10"/>
      <c r="J60" s="10"/>
      <c r="K60" s="10"/>
      <c r="L60" s="186"/>
      <c r="M60" s="64"/>
      <c r="N60" s="65"/>
      <c r="O60" s="65"/>
      <c r="P60" s="66"/>
      <c r="R60" s="9"/>
      <c r="S60" s="10"/>
      <c r="T60" s="10"/>
      <c r="U60" s="74"/>
      <c r="V60" s="4" t="s">
        <v>3</v>
      </c>
      <c r="W60" s="76"/>
      <c r="X60" s="10"/>
      <c r="Y60" s="10"/>
      <c r="Z60" s="10"/>
      <c r="AA60" s="186"/>
      <c r="AB60" s="64"/>
      <c r="AC60" s="65"/>
      <c r="AD60" s="65"/>
      <c r="AE60" s="66"/>
      <c r="AG60" s="9"/>
      <c r="AH60" s="10"/>
      <c r="AI60" s="10"/>
      <c r="AJ60" s="48"/>
      <c r="AK60" s="4" t="s">
        <v>3</v>
      </c>
      <c r="AL60" s="39"/>
      <c r="AM60" s="10"/>
      <c r="AN60" s="10"/>
      <c r="AO60" s="10"/>
      <c r="AP60" s="186"/>
      <c r="AQ60" s="64"/>
      <c r="AR60" s="65"/>
      <c r="AS60" s="65"/>
      <c r="AT60" s="66"/>
      <c r="AV60" s="9"/>
      <c r="AW60" s="10"/>
      <c r="AX60" s="10"/>
      <c r="AY60" s="48"/>
      <c r="AZ60" s="4" t="s">
        <v>3</v>
      </c>
      <c r="BA60" s="39"/>
      <c r="BB60" s="10"/>
      <c r="BC60" s="10"/>
      <c r="BD60" s="10"/>
      <c r="BE60" s="186"/>
      <c r="BF60" s="64"/>
      <c r="BG60" s="65"/>
      <c r="BH60" s="65"/>
      <c r="BI60" s="66"/>
      <c r="BJ60" s="28"/>
      <c r="BK60" s="9"/>
      <c r="BL60" s="10"/>
      <c r="BM60" s="10"/>
      <c r="BN60" s="48"/>
      <c r="BO60" s="4" t="s">
        <v>3</v>
      </c>
      <c r="BP60" s="39"/>
      <c r="BQ60" s="10"/>
      <c r="BR60" s="10"/>
      <c r="BS60" s="10"/>
      <c r="BT60" s="186"/>
      <c r="BU60" s="64"/>
      <c r="BV60" s="65"/>
      <c r="BW60" s="65"/>
      <c r="BX60" s="66"/>
    </row>
    <row r="61" spans="3:76" ht="16.2" thickBot="1" x14ac:dyDescent="0.35">
      <c r="C61" s="11"/>
      <c r="D61" s="12"/>
      <c r="E61" s="12"/>
      <c r="F61" s="49"/>
      <c r="G61" s="6" t="s">
        <v>3</v>
      </c>
      <c r="H61" s="40"/>
      <c r="I61" s="12"/>
      <c r="J61" s="12"/>
      <c r="K61" s="12"/>
      <c r="L61" s="187"/>
      <c r="M61" s="67"/>
      <c r="N61" s="68"/>
      <c r="O61" s="68"/>
      <c r="P61" s="69"/>
      <c r="R61" s="11"/>
      <c r="S61" s="12"/>
      <c r="T61" s="12"/>
      <c r="U61" s="75"/>
      <c r="V61" s="6" t="s">
        <v>3</v>
      </c>
      <c r="W61" s="77"/>
      <c r="X61" s="12"/>
      <c r="Y61" s="12"/>
      <c r="Z61" s="12"/>
      <c r="AA61" s="187"/>
      <c r="AB61" s="67"/>
      <c r="AC61" s="68"/>
      <c r="AD61" s="68"/>
      <c r="AE61" s="69"/>
      <c r="AG61" s="11"/>
      <c r="AH61" s="12"/>
      <c r="AI61" s="12"/>
      <c r="AJ61" s="49"/>
      <c r="AK61" s="6" t="s">
        <v>3</v>
      </c>
      <c r="AL61" s="40"/>
      <c r="AM61" s="12"/>
      <c r="AN61" s="12"/>
      <c r="AO61" s="12"/>
      <c r="AP61" s="187"/>
      <c r="AQ61" s="67"/>
      <c r="AR61" s="68"/>
      <c r="AS61" s="68"/>
      <c r="AT61" s="69"/>
      <c r="AV61" s="11"/>
      <c r="AW61" s="12"/>
      <c r="AX61" s="12"/>
      <c r="AY61" s="49"/>
      <c r="AZ61" s="6" t="s">
        <v>3</v>
      </c>
      <c r="BA61" s="40"/>
      <c r="BB61" s="12"/>
      <c r="BC61" s="12"/>
      <c r="BD61" s="12"/>
      <c r="BE61" s="187"/>
      <c r="BF61" s="67"/>
      <c r="BG61" s="68"/>
      <c r="BH61" s="68"/>
      <c r="BI61" s="69"/>
      <c r="BJ61" s="28"/>
      <c r="BK61" s="11"/>
      <c r="BL61" s="12"/>
      <c r="BM61" s="12"/>
      <c r="BN61" s="49"/>
      <c r="BO61" s="6" t="s">
        <v>3</v>
      </c>
      <c r="BP61" s="40"/>
      <c r="BQ61" s="12"/>
      <c r="BR61" s="12"/>
      <c r="BS61" s="12"/>
      <c r="BT61" s="187"/>
      <c r="BU61" s="67"/>
      <c r="BV61" s="68"/>
      <c r="BW61" s="68"/>
      <c r="BX61" s="69"/>
    </row>
    <row r="63" spans="3:76" ht="15" thickBot="1" x14ac:dyDescent="0.35"/>
    <row r="64" spans="3:76" ht="24" thickBot="1" x14ac:dyDescent="0.35">
      <c r="C64" s="102" t="s">
        <v>43</v>
      </c>
      <c r="D64" s="1"/>
      <c r="E64" s="1"/>
      <c r="F64" s="47"/>
      <c r="G64" s="1"/>
      <c r="H64" s="50"/>
      <c r="I64" s="1"/>
      <c r="J64" s="1"/>
      <c r="K64" s="1"/>
      <c r="L64" s="1"/>
      <c r="M64" s="1"/>
      <c r="N64" s="1"/>
      <c r="O64" s="1"/>
      <c r="P64" s="1"/>
    </row>
    <row r="65" spans="3:76" ht="18.600000000000001" thickBot="1" x14ac:dyDescent="0.4">
      <c r="C65" s="100" t="s">
        <v>44</v>
      </c>
      <c r="D65" s="219" t="s">
        <v>136</v>
      </c>
      <c r="E65" s="219" t="s">
        <v>56</v>
      </c>
      <c r="F65" s="235" t="s">
        <v>29</v>
      </c>
      <c r="G65" s="235"/>
      <c r="H65" s="241"/>
      <c r="I65" s="219" t="s">
        <v>7</v>
      </c>
      <c r="J65" s="219" t="s">
        <v>137</v>
      </c>
      <c r="K65" s="219" t="s">
        <v>10</v>
      </c>
      <c r="L65" s="218" t="s">
        <v>66</v>
      </c>
      <c r="M65" s="234" t="s">
        <v>9</v>
      </c>
      <c r="N65" s="235"/>
      <c r="O65" s="235"/>
      <c r="P65" s="236"/>
      <c r="R65" s="100" t="s">
        <v>45</v>
      </c>
      <c r="S65" s="219" t="s">
        <v>136</v>
      </c>
      <c r="T65" s="219" t="s">
        <v>56</v>
      </c>
      <c r="U65" s="235" t="s">
        <v>29</v>
      </c>
      <c r="V65" s="235"/>
      <c r="W65" s="241"/>
      <c r="X65" s="219" t="s">
        <v>7</v>
      </c>
      <c r="Y65" s="219" t="s">
        <v>137</v>
      </c>
      <c r="Z65" s="219" t="s">
        <v>10</v>
      </c>
      <c r="AA65" s="218" t="s">
        <v>66</v>
      </c>
      <c r="AB65" s="234" t="s">
        <v>9</v>
      </c>
      <c r="AC65" s="235"/>
      <c r="AD65" s="235"/>
      <c r="AE65" s="236"/>
      <c r="AG65" s="254" t="s">
        <v>46</v>
      </c>
      <c r="AH65" s="235"/>
      <c r="AI65" s="235"/>
      <c r="AJ65" s="235"/>
      <c r="AK65" s="235"/>
      <c r="AL65" s="236"/>
      <c r="AM65" s="26"/>
      <c r="AN65" s="254" t="s">
        <v>64</v>
      </c>
      <c r="AO65" s="235"/>
      <c r="AP65" s="235"/>
      <c r="AQ65" s="235"/>
      <c r="AR65" s="235"/>
      <c r="AS65" s="235"/>
      <c r="AT65" s="236"/>
      <c r="AV65" s="26"/>
      <c r="AW65" s="26"/>
      <c r="AX65" s="26"/>
      <c r="AY65" s="253"/>
      <c r="AZ65" s="253"/>
      <c r="BA65" s="253"/>
      <c r="BB65" s="26"/>
      <c r="BC65" s="26"/>
      <c r="BD65" s="26"/>
      <c r="BE65" s="172"/>
      <c r="BF65" s="26"/>
      <c r="BG65" s="26"/>
      <c r="BH65" s="26"/>
      <c r="BI65" s="26"/>
      <c r="BJ65" s="29"/>
      <c r="BK65" s="26"/>
      <c r="BL65" s="26"/>
      <c r="BM65" s="26"/>
      <c r="BN65" s="253"/>
      <c r="BO65" s="253"/>
      <c r="BP65" s="253"/>
      <c r="BQ65" s="26"/>
      <c r="BR65" s="26"/>
      <c r="BS65" s="26"/>
      <c r="BT65" s="172"/>
      <c r="BU65" s="26"/>
      <c r="BV65" s="26"/>
      <c r="BW65" s="26"/>
      <c r="BX65" s="26"/>
    </row>
    <row r="66" spans="3:76" ht="15.6" customHeight="1" x14ac:dyDescent="0.3">
      <c r="C66" s="7" t="str">
        <f>C18</f>
        <v>WK-Kniebeuge</v>
      </c>
      <c r="D66" s="8">
        <v>2</v>
      </c>
      <c r="E66" s="8">
        <v>1</v>
      </c>
      <c r="F66" s="261" t="s">
        <v>47</v>
      </c>
      <c r="G66" s="262"/>
      <c r="H66" s="263"/>
      <c r="I66" s="8">
        <v>8</v>
      </c>
      <c r="J66" s="8" t="s">
        <v>61</v>
      </c>
      <c r="K66" s="8"/>
      <c r="L66" s="185"/>
      <c r="M66" s="61"/>
      <c r="N66" s="62"/>
      <c r="O66" s="62"/>
      <c r="P66" s="63"/>
      <c r="R66" s="151" t="s">
        <v>95</v>
      </c>
      <c r="S66" s="8">
        <v>1</v>
      </c>
      <c r="T66" s="8">
        <v>1</v>
      </c>
      <c r="U66" s="255">
        <f>0.84*D10</f>
        <v>0</v>
      </c>
      <c r="V66" s="256"/>
      <c r="W66" s="257"/>
      <c r="X66" s="8">
        <v>7</v>
      </c>
      <c r="Y66" s="8" t="s">
        <v>61</v>
      </c>
      <c r="Z66" s="8"/>
      <c r="AA66" s="185"/>
      <c r="AB66" s="61"/>
      <c r="AC66" s="62"/>
      <c r="AD66" s="62"/>
      <c r="AE66" s="63"/>
      <c r="AG66" s="276" t="s">
        <v>103</v>
      </c>
      <c r="AH66" s="277"/>
      <c r="AI66" s="277"/>
      <c r="AJ66" s="277"/>
      <c r="AK66" s="277"/>
      <c r="AL66" s="278"/>
      <c r="AM66" s="27"/>
      <c r="AN66" s="276" t="s">
        <v>50</v>
      </c>
      <c r="AO66" s="277"/>
      <c r="AP66" s="277"/>
      <c r="AQ66" s="277"/>
      <c r="AR66" s="277"/>
      <c r="AS66" s="277"/>
      <c r="AT66" s="278"/>
      <c r="AV66" s="27"/>
      <c r="AW66" s="27"/>
      <c r="AX66" s="27"/>
      <c r="AY66" s="95"/>
      <c r="AZ66" s="81"/>
      <c r="BA66" s="96"/>
      <c r="BB66" s="27"/>
      <c r="BC66" s="27"/>
      <c r="BD66" s="27"/>
      <c r="BE66" s="27"/>
      <c r="BF66" s="89"/>
      <c r="BG66" s="89"/>
      <c r="BH66" s="89"/>
      <c r="BI66" s="89"/>
      <c r="BJ66" s="28"/>
      <c r="BK66" s="27"/>
      <c r="BL66" s="27"/>
      <c r="BM66" s="27"/>
      <c r="BN66" s="95"/>
      <c r="BO66" s="81"/>
      <c r="BP66" s="96"/>
      <c r="BQ66" s="27"/>
      <c r="BR66" s="27"/>
      <c r="BS66" s="27"/>
      <c r="BT66" s="27"/>
      <c r="BU66" s="89"/>
      <c r="BV66" s="89"/>
      <c r="BW66" s="89"/>
      <c r="BX66" s="89"/>
    </row>
    <row r="67" spans="3:76" ht="15.6" x14ac:dyDescent="0.3">
      <c r="C67" s="9" t="s">
        <v>95</v>
      </c>
      <c r="D67" s="10">
        <v>2</v>
      </c>
      <c r="E67" s="10">
        <v>1</v>
      </c>
      <c r="F67" s="267" t="s">
        <v>48</v>
      </c>
      <c r="G67" s="268"/>
      <c r="H67" s="269"/>
      <c r="I67" s="10">
        <v>7</v>
      </c>
      <c r="J67" s="10" t="s">
        <v>61</v>
      </c>
      <c r="K67" s="10"/>
      <c r="L67" s="186"/>
      <c r="M67" s="64"/>
      <c r="N67" s="65"/>
      <c r="O67" s="65"/>
      <c r="P67" s="66"/>
      <c r="R67" s="9" t="s">
        <v>95</v>
      </c>
      <c r="S67" s="10">
        <v>2</v>
      </c>
      <c r="T67" s="10">
        <v>1</v>
      </c>
      <c r="U67" s="258">
        <f>0.8*D10</f>
        <v>0</v>
      </c>
      <c r="V67" s="259"/>
      <c r="W67" s="260"/>
      <c r="X67" s="10">
        <v>6</v>
      </c>
      <c r="Y67" s="10" t="s">
        <v>61</v>
      </c>
      <c r="Z67" s="10"/>
      <c r="AA67" s="186"/>
      <c r="AB67" s="64"/>
      <c r="AC67" s="65"/>
      <c r="AD67" s="65"/>
      <c r="AE67" s="66"/>
      <c r="AG67" s="270"/>
      <c r="AH67" s="271"/>
      <c r="AI67" s="271"/>
      <c r="AJ67" s="271"/>
      <c r="AK67" s="271"/>
      <c r="AL67" s="272"/>
      <c r="AM67" s="27"/>
      <c r="AN67" s="97"/>
      <c r="AO67" s="99"/>
      <c r="AP67" s="99"/>
      <c r="AQ67" s="279"/>
      <c r="AR67" s="279"/>
      <c r="AS67" s="279"/>
      <c r="AT67" s="280"/>
      <c r="AV67" s="27"/>
      <c r="AW67" s="27"/>
      <c r="AX67" s="27"/>
      <c r="AY67" s="95"/>
      <c r="AZ67" s="81"/>
      <c r="BA67" s="96"/>
      <c r="BB67" s="27"/>
      <c r="BC67" s="27"/>
      <c r="BD67" s="27"/>
      <c r="BE67" s="27"/>
      <c r="BF67" s="89"/>
      <c r="BG67" s="89"/>
      <c r="BH67" s="89"/>
      <c r="BI67" s="89"/>
      <c r="BJ67" s="28"/>
      <c r="BK67" s="27"/>
      <c r="BL67" s="27"/>
      <c r="BM67" s="27"/>
      <c r="BN67" s="95"/>
      <c r="BO67" s="81"/>
      <c r="BP67" s="96"/>
      <c r="BQ67" s="27"/>
      <c r="BR67" s="27"/>
      <c r="BS67" s="27"/>
      <c r="BT67" s="27"/>
      <c r="BU67" s="89"/>
      <c r="BV67" s="89"/>
      <c r="BW67" s="89"/>
      <c r="BX67" s="89"/>
    </row>
    <row r="68" spans="3:76" ht="15.6" customHeight="1" x14ac:dyDescent="0.3">
      <c r="C68" s="7" t="s">
        <v>97</v>
      </c>
      <c r="D68" s="8">
        <v>2</v>
      </c>
      <c r="E68" s="8">
        <v>1</v>
      </c>
      <c r="F68" s="264" t="s">
        <v>47</v>
      </c>
      <c r="G68" s="265"/>
      <c r="H68" s="266"/>
      <c r="I68" s="8">
        <v>8</v>
      </c>
      <c r="J68" s="8" t="s">
        <v>62</v>
      </c>
      <c r="K68" s="8"/>
      <c r="L68" s="185"/>
      <c r="M68" s="56"/>
      <c r="N68" s="57"/>
      <c r="O68" s="57"/>
      <c r="P68" s="58"/>
      <c r="R68" s="151" t="s">
        <v>97</v>
      </c>
      <c r="S68" s="8">
        <v>1</v>
      </c>
      <c r="T68" s="8">
        <v>1</v>
      </c>
      <c r="U68" s="242">
        <f>0.84*F10</f>
        <v>0</v>
      </c>
      <c r="V68" s="243"/>
      <c r="W68" s="244"/>
      <c r="X68" s="8">
        <v>7</v>
      </c>
      <c r="Y68" s="8" t="s">
        <v>62</v>
      </c>
      <c r="Z68" s="8"/>
      <c r="AA68" s="185"/>
      <c r="AB68" s="56"/>
      <c r="AC68" s="57"/>
      <c r="AD68" s="57"/>
      <c r="AE68" s="58"/>
      <c r="AG68" s="270"/>
      <c r="AH68" s="271"/>
      <c r="AI68" s="271"/>
      <c r="AJ68" s="271"/>
      <c r="AK68" s="271"/>
      <c r="AL68" s="272"/>
      <c r="AM68" s="27"/>
      <c r="AN68" s="270" t="s">
        <v>53</v>
      </c>
      <c r="AO68" s="271"/>
      <c r="AP68" s="271"/>
      <c r="AQ68" s="271"/>
      <c r="AR68" s="271"/>
      <c r="AS68" s="271"/>
      <c r="AT68" s="272"/>
      <c r="AV68" s="27"/>
      <c r="AW68" s="27"/>
      <c r="AX68" s="27"/>
      <c r="AY68" s="95"/>
      <c r="AZ68" s="81"/>
      <c r="BA68" s="96"/>
      <c r="BB68" s="27"/>
      <c r="BC68" s="27"/>
      <c r="BD68" s="27"/>
      <c r="BE68" s="27"/>
      <c r="BF68" s="89"/>
      <c r="BG68" s="89"/>
      <c r="BH68" s="89"/>
      <c r="BI68" s="89"/>
      <c r="BJ68" s="28"/>
      <c r="BK68" s="27"/>
      <c r="BL68" s="27"/>
      <c r="BM68" s="27"/>
      <c r="BN68" s="95"/>
      <c r="BO68" s="81"/>
      <c r="BP68" s="96"/>
      <c r="BQ68" s="27"/>
      <c r="BR68" s="27"/>
      <c r="BS68" s="27"/>
      <c r="BT68" s="27"/>
      <c r="BU68" s="89"/>
      <c r="BV68" s="89"/>
      <c r="BW68" s="89"/>
      <c r="BX68" s="89"/>
    </row>
    <row r="69" spans="3:76" ht="15.6" customHeight="1" x14ac:dyDescent="0.3">
      <c r="C69" s="9" t="s">
        <v>97</v>
      </c>
      <c r="D69" s="32" t="s">
        <v>37</v>
      </c>
      <c r="E69" s="10">
        <v>1</v>
      </c>
      <c r="F69" s="267" t="s">
        <v>48</v>
      </c>
      <c r="G69" s="268"/>
      <c r="H69" s="269"/>
      <c r="I69" s="10">
        <v>7</v>
      </c>
      <c r="J69" s="10" t="s">
        <v>62</v>
      </c>
      <c r="K69" s="10"/>
      <c r="L69" s="186"/>
      <c r="M69" s="64"/>
      <c r="N69" s="65"/>
      <c r="O69" s="65"/>
      <c r="P69" s="66"/>
      <c r="R69" s="9" t="s">
        <v>97</v>
      </c>
      <c r="S69" s="10">
        <v>2</v>
      </c>
      <c r="T69" s="10">
        <v>1</v>
      </c>
      <c r="U69" s="258">
        <f>0.8*F10</f>
        <v>0</v>
      </c>
      <c r="V69" s="259"/>
      <c r="W69" s="260"/>
      <c r="X69" s="10">
        <v>6</v>
      </c>
      <c r="Y69" s="10" t="s">
        <v>62</v>
      </c>
      <c r="Z69" s="10"/>
      <c r="AA69" s="186"/>
      <c r="AB69" s="64"/>
      <c r="AC69" s="65"/>
      <c r="AD69" s="65"/>
      <c r="AE69" s="66"/>
      <c r="AG69" s="270"/>
      <c r="AH69" s="271"/>
      <c r="AI69" s="271"/>
      <c r="AJ69" s="271"/>
      <c r="AK69" s="271"/>
      <c r="AL69" s="272"/>
      <c r="AM69" s="27"/>
      <c r="AN69" s="270" t="s">
        <v>51</v>
      </c>
      <c r="AO69" s="271"/>
      <c r="AP69" s="271"/>
      <c r="AQ69" s="271"/>
      <c r="AR69" s="271"/>
      <c r="AS69" s="271"/>
      <c r="AT69" s="272"/>
      <c r="AV69" s="27"/>
      <c r="AW69" s="27"/>
      <c r="AX69" s="27"/>
      <c r="AY69" s="95"/>
      <c r="AZ69" s="81"/>
      <c r="BA69" s="96"/>
      <c r="BB69" s="27"/>
      <c r="BC69" s="27"/>
      <c r="BD69" s="27"/>
      <c r="BE69" s="27"/>
      <c r="BF69" s="89"/>
      <c r="BG69" s="89"/>
      <c r="BH69" s="89"/>
      <c r="BI69" s="89"/>
      <c r="BJ69" s="28"/>
      <c r="BK69" s="27"/>
      <c r="BL69" s="27"/>
      <c r="BM69" s="27"/>
      <c r="BN69" s="95"/>
      <c r="BO69" s="81"/>
      <c r="BP69" s="96"/>
      <c r="BQ69" s="27"/>
      <c r="BR69" s="27"/>
      <c r="BS69" s="27"/>
      <c r="BT69" s="27"/>
      <c r="BU69" s="89"/>
      <c r="BV69" s="89"/>
      <c r="BW69" s="89"/>
      <c r="BX69" s="89"/>
    </row>
    <row r="70" spans="3:76" ht="15" customHeight="1" x14ac:dyDescent="0.3">
      <c r="C70" s="7" t="s">
        <v>98</v>
      </c>
      <c r="D70" s="8">
        <v>1</v>
      </c>
      <c r="E70" s="8">
        <v>1</v>
      </c>
      <c r="F70" s="242">
        <f>H10*0.8</f>
        <v>0</v>
      </c>
      <c r="G70" s="243"/>
      <c r="H70" s="244"/>
      <c r="I70" s="35" t="s">
        <v>49</v>
      </c>
      <c r="J70" s="8" t="s">
        <v>2</v>
      </c>
      <c r="K70" s="8"/>
      <c r="L70" s="185"/>
      <c r="M70" s="56"/>
      <c r="N70" s="57"/>
      <c r="O70" s="57"/>
      <c r="P70" s="58"/>
      <c r="R70" s="7"/>
      <c r="S70" s="8"/>
      <c r="T70" s="8"/>
      <c r="U70" s="59"/>
      <c r="V70" s="5" t="s">
        <v>3</v>
      </c>
      <c r="W70" s="60"/>
      <c r="X70" s="8"/>
      <c r="Y70" s="8"/>
      <c r="Z70" s="8"/>
      <c r="AA70" s="185"/>
      <c r="AB70" s="56"/>
      <c r="AC70" s="57"/>
      <c r="AD70" s="57"/>
      <c r="AE70" s="58"/>
      <c r="AG70" s="270"/>
      <c r="AH70" s="271"/>
      <c r="AI70" s="271"/>
      <c r="AJ70" s="271"/>
      <c r="AK70" s="271"/>
      <c r="AL70" s="272"/>
      <c r="AM70" s="27"/>
      <c r="AN70" s="270" t="s">
        <v>52</v>
      </c>
      <c r="AO70" s="271"/>
      <c r="AP70" s="271"/>
      <c r="AQ70" s="271"/>
      <c r="AR70" s="271"/>
      <c r="AS70" s="271"/>
      <c r="AT70" s="272"/>
      <c r="AV70" s="27"/>
      <c r="AW70" s="27"/>
      <c r="AX70" s="27"/>
      <c r="AY70" s="95"/>
      <c r="AZ70" s="81"/>
      <c r="BA70" s="96"/>
      <c r="BB70" s="27"/>
      <c r="BC70" s="27"/>
      <c r="BD70" s="27"/>
      <c r="BE70" s="27"/>
      <c r="BF70" s="89"/>
      <c r="BG70" s="89"/>
      <c r="BH70" s="89"/>
      <c r="BI70" s="89"/>
      <c r="BJ70" s="28"/>
      <c r="BK70" s="27"/>
      <c r="BL70" s="27"/>
      <c r="BM70" s="27"/>
      <c r="BN70" s="95"/>
      <c r="BO70" s="81"/>
      <c r="BP70" s="96"/>
      <c r="BQ70" s="27"/>
      <c r="BR70" s="27"/>
      <c r="BS70" s="27"/>
      <c r="BT70" s="27"/>
      <c r="BU70" s="89"/>
      <c r="BV70" s="89"/>
      <c r="BW70" s="89"/>
      <c r="BX70" s="89"/>
    </row>
    <row r="71" spans="3:76" ht="15.6" x14ac:dyDescent="0.3">
      <c r="C71" s="9"/>
      <c r="D71" s="10"/>
      <c r="E71" s="10"/>
      <c r="F71" s="48"/>
      <c r="G71" s="4" t="s">
        <v>3</v>
      </c>
      <c r="H71" s="39"/>
      <c r="I71" s="10"/>
      <c r="J71" s="10"/>
      <c r="K71" s="10"/>
      <c r="L71" s="186"/>
      <c r="M71" s="64"/>
      <c r="N71" s="65"/>
      <c r="O71" s="65"/>
      <c r="P71" s="66"/>
      <c r="R71" s="9"/>
      <c r="S71" s="10"/>
      <c r="T71" s="10"/>
      <c r="U71" s="74"/>
      <c r="V71" s="4" t="s">
        <v>3</v>
      </c>
      <c r="W71" s="76"/>
      <c r="X71" s="10"/>
      <c r="Y71" s="10"/>
      <c r="Z71" s="10"/>
      <c r="AA71" s="186"/>
      <c r="AB71" s="64"/>
      <c r="AC71" s="65"/>
      <c r="AD71" s="65"/>
      <c r="AE71" s="66"/>
      <c r="AG71" s="270"/>
      <c r="AH71" s="271"/>
      <c r="AI71" s="271"/>
      <c r="AJ71" s="271"/>
      <c r="AK71" s="271"/>
      <c r="AL71" s="272"/>
      <c r="AM71" s="27"/>
      <c r="AN71" s="97"/>
      <c r="AO71" s="98"/>
      <c r="AP71" s="98"/>
      <c r="AQ71" s="271"/>
      <c r="AR71" s="271"/>
      <c r="AS71" s="271"/>
      <c r="AT71" s="272"/>
      <c r="AV71" s="27"/>
      <c r="AW71" s="27"/>
      <c r="AX71" s="27"/>
      <c r="AY71" s="95"/>
      <c r="AZ71" s="81"/>
      <c r="BA71" s="96"/>
      <c r="BB71" s="27"/>
      <c r="BC71" s="27"/>
      <c r="BD71" s="27"/>
      <c r="BE71" s="27"/>
      <c r="BF71" s="89"/>
      <c r="BG71" s="89"/>
      <c r="BH71" s="89"/>
      <c r="BI71" s="89"/>
      <c r="BJ71" s="28"/>
      <c r="BK71" s="27"/>
      <c r="BL71" s="27"/>
      <c r="BM71" s="27"/>
      <c r="BN71" s="95"/>
      <c r="BO71" s="81"/>
      <c r="BP71" s="96"/>
      <c r="BQ71" s="27"/>
      <c r="BR71" s="27"/>
      <c r="BS71" s="27"/>
      <c r="BT71" s="27"/>
      <c r="BU71" s="89"/>
      <c r="BV71" s="89"/>
      <c r="BW71" s="89"/>
      <c r="BX71" s="89"/>
    </row>
    <row r="72" spans="3:76" ht="16.2" thickBot="1" x14ac:dyDescent="0.35">
      <c r="C72" s="11"/>
      <c r="D72" s="12"/>
      <c r="E72" s="12"/>
      <c r="F72" s="49"/>
      <c r="G72" s="6" t="s">
        <v>3</v>
      </c>
      <c r="H72" s="40"/>
      <c r="I72" s="12"/>
      <c r="J72" s="12"/>
      <c r="K72" s="12"/>
      <c r="L72" s="187"/>
      <c r="M72" s="67"/>
      <c r="N72" s="68"/>
      <c r="O72" s="68"/>
      <c r="P72" s="69"/>
      <c r="R72" s="11"/>
      <c r="S72" s="12"/>
      <c r="T72" s="12"/>
      <c r="U72" s="75"/>
      <c r="V72" s="6" t="s">
        <v>3</v>
      </c>
      <c r="W72" s="77"/>
      <c r="X72" s="12"/>
      <c r="Y72" s="12"/>
      <c r="Z72" s="12"/>
      <c r="AA72" s="187"/>
      <c r="AB72" s="67"/>
      <c r="AC72" s="68"/>
      <c r="AD72" s="68"/>
      <c r="AE72" s="69"/>
      <c r="AG72" s="273"/>
      <c r="AH72" s="274"/>
      <c r="AI72" s="274"/>
      <c r="AJ72" s="274"/>
      <c r="AK72" s="274"/>
      <c r="AL72" s="275"/>
      <c r="AM72" s="27"/>
      <c r="AN72" s="273" t="s">
        <v>55</v>
      </c>
      <c r="AO72" s="274"/>
      <c r="AP72" s="274"/>
      <c r="AQ72" s="274"/>
      <c r="AR72" s="274"/>
      <c r="AS72" s="274"/>
      <c r="AT72" s="275"/>
      <c r="AV72" s="27"/>
      <c r="AW72" s="27"/>
      <c r="AX72" s="27"/>
      <c r="AY72" s="95"/>
      <c r="AZ72" s="81"/>
      <c r="BA72" s="96"/>
      <c r="BB72" s="27"/>
      <c r="BC72" s="27"/>
      <c r="BD72" s="27"/>
      <c r="BE72" s="27"/>
      <c r="BF72" s="89"/>
      <c r="BG72" s="89"/>
      <c r="BH72" s="89"/>
      <c r="BI72" s="89"/>
      <c r="BJ72" s="28"/>
      <c r="BK72" s="27"/>
      <c r="BL72" s="27"/>
      <c r="BM72" s="27"/>
      <c r="BN72" s="95"/>
      <c r="BO72" s="81"/>
      <c r="BP72" s="96"/>
      <c r="BQ72" s="27"/>
      <c r="BR72" s="27"/>
      <c r="BS72" s="27"/>
      <c r="BT72" s="27"/>
      <c r="BU72" s="89"/>
      <c r="BV72" s="89"/>
      <c r="BW72" s="89"/>
      <c r="BX72" s="89"/>
    </row>
    <row r="78" spans="3:76" x14ac:dyDescent="0.3">
      <c r="F78" s="47"/>
    </row>
  </sheetData>
  <mergeCells count="184">
    <mergeCell ref="AN68:AT68"/>
    <mergeCell ref="AN69:AT69"/>
    <mergeCell ref="AN70:AT70"/>
    <mergeCell ref="AN72:AT72"/>
    <mergeCell ref="AG66:AL72"/>
    <mergeCell ref="AN65:AT65"/>
    <mergeCell ref="AN66:AT66"/>
    <mergeCell ref="AQ67:AT67"/>
    <mergeCell ref="AQ71:AT71"/>
    <mergeCell ref="F70:H70"/>
    <mergeCell ref="AB65:AE65"/>
    <mergeCell ref="U66:W66"/>
    <mergeCell ref="U67:W67"/>
    <mergeCell ref="U68:W68"/>
    <mergeCell ref="U69:W69"/>
    <mergeCell ref="F66:H66"/>
    <mergeCell ref="F68:H68"/>
    <mergeCell ref="F67:H67"/>
    <mergeCell ref="F69:H69"/>
    <mergeCell ref="F65:H65"/>
    <mergeCell ref="U65:W65"/>
    <mergeCell ref="AY65:BA65"/>
    <mergeCell ref="BN65:BP65"/>
    <mergeCell ref="M65:P65"/>
    <mergeCell ref="AG65:AL65"/>
    <mergeCell ref="BN53:BP53"/>
    <mergeCell ref="AB56:AE56"/>
    <mergeCell ref="AQ56:AT56"/>
    <mergeCell ref="BF56:BI56"/>
    <mergeCell ref="BU56:BX56"/>
    <mergeCell ref="AQ57:AT57"/>
    <mergeCell ref="F53:H53"/>
    <mergeCell ref="M55:P55"/>
    <mergeCell ref="AB55:AE55"/>
    <mergeCell ref="AJ53:AL53"/>
    <mergeCell ref="AQ55:AT55"/>
    <mergeCell ref="BF55:BI55"/>
    <mergeCell ref="AY53:BA53"/>
    <mergeCell ref="BF53:BI53"/>
    <mergeCell ref="BU53:BX53"/>
    <mergeCell ref="M54:P54"/>
    <mergeCell ref="AB54:AE54"/>
    <mergeCell ref="AQ54:AT54"/>
    <mergeCell ref="BF54:BI54"/>
    <mergeCell ref="BU54:BX54"/>
    <mergeCell ref="M53:P53"/>
    <mergeCell ref="U53:W53"/>
    <mergeCell ref="AB53:AE53"/>
    <mergeCell ref="AQ53:AT53"/>
    <mergeCell ref="M48:P48"/>
    <mergeCell ref="AB48:AE48"/>
    <mergeCell ref="AQ48:AT48"/>
    <mergeCell ref="BF48:BI48"/>
    <mergeCell ref="BU48:BX48"/>
    <mergeCell ref="M49:P49"/>
    <mergeCell ref="AB49:AE49"/>
    <mergeCell ref="AQ49:AT49"/>
    <mergeCell ref="BF49:BI49"/>
    <mergeCell ref="BU49:BX49"/>
    <mergeCell ref="M46:P46"/>
    <mergeCell ref="AB46:AE46"/>
    <mergeCell ref="AQ46:AT46"/>
    <mergeCell ref="BF46:BI46"/>
    <mergeCell ref="BU46:BX46"/>
    <mergeCell ref="M47:P47"/>
    <mergeCell ref="AB47:AE47"/>
    <mergeCell ref="AQ47:AT47"/>
    <mergeCell ref="BF47:BI47"/>
    <mergeCell ref="BU47:BX47"/>
    <mergeCell ref="M44:P44"/>
    <mergeCell ref="AB44:AE44"/>
    <mergeCell ref="AQ44:AT44"/>
    <mergeCell ref="BF44:BI44"/>
    <mergeCell ref="BU44:BX44"/>
    <mergeCell ref="M45:P45"/>
    <mergeCell ref="AB45:AE45"/>
    <mergeCell ref="AQ45:AT45"/>
    <mergeCell ref="BF45:BI45"/>
    <mergeCell ref="BU45:BX45"/>
    <mergeCell ref="AY41:BA41"/>
    <mergeCell ref="BF41:BI41"/>
    <mergeCell ref="BN41:BP41"/>
    <mergeCell ref="BU41:BX41"/>
    <mergeCell ref="M42:P42"/>
    <mergeCell ref="AB42:AE42"/>
    <mergeCell ref="AQ42:AT42"/>
    <mergeCell ref="BF42:BI42"/>
    <mergeCell ref="BU42:BX42"/>
    <mergeCell ref="F41:H41"/>
    <mergeCell ref="M41:P41"/>
    <mergeCell ref="U41:W41"/>
    <mergeCell ref="AB41:AE41"/>
    <mergeCell ref="AJ41:AL41"/>
    <mergeCell ref="AQ41:AT41"/>
    <mergeCell ref="M36:P36"/>
    <mergeCell ref="AB36:AE36"/>
    <mergeCell ref="AQ36:AT36"/>
    <mergeCell ref="BF36:BI36"/>
    <mergeCell ref="BU36:BX36"/>
    <mergeCell ref="M37:P37"/>
    <mergeCell ref="AB37:AE37"/>
    <mergeCell ref="AQ37:AT37"/>
    <mergeCell ref="BF37:BI37"/>
    <mergeCell ref="BU37:BX37"/>
    <mergeCell ref="M34:P34"/>
    <mergeCell ref="AB34:AE34"/>
    <mergeCell ref="AQ34:AT34"/>
    <mergeCell ref="BF34:BI34"/>
    <mergeCell ref="BU34:BX34"/>
    <mergeCell ref="M35:P35"/>
    <mergeCell ref="AB35:AE35"/>
    <mergeCell ref="AQ35:AT35"/>
    <mergeCell ref="BF35:BI35"/>
    <mergeCell ref="BU35:BX35"/>
    <mergeCell ref="M32:P32"/>
    <mergeCell ref="AB32:AE32"/>
    <mergeCell ref="AQ32:AT32"/>
    <mergeCell ref="BF32:BI32"/>
    <mergeCell ref="BU32:BX32"/>
    <mergeCell ref="M33:P33"/>
    <mergeCell ref="AB33:AE33"/>
    <mergeCell ref="AQ33:AT33"/>
    <mergeCell ref="BF33:BI33"/>
    <mergeCell ref="BU33:BX33"/>
    <mergeCell ref="AY29:BA29"/>
    <mergeCell ref="BF29:BI29"/>
    <mergeCell ref="BN29:BP29"/>
    <mergeCell ref="BU29:BX29"/>
    <mergeCell ref="M30:P30"/>
    <mergeCell ref="AB30:AE30"/>
    <mergeCell ref="AQ30:AT30"/>
    <mergeCell ref="BF30:BI30"/>
    <mergeCell ref="BU30:BX30"/>
    <mergeCell ref="F29:H29"/>
    <mergeCell ref="M29:P29"/>
    <mergeCell ref="U29:W29"/>
    <mergeCell ref="AB29:AE29"/>
    <mergeCell ref="AJ29:AL29"/>
    <mergeCell ref="AQ29:AT29"/>
    <mergeCell ref="M24:P24"/>
    <mergeCell ref="AB24:AE24"/>
    <mergeCell ref="AQ24:AT24"/>
    <mergeCell ref="M21:P21"/>
    <mergeCell ref="AB21:AE21"/>
    <mergeCell ref="AQ21:AT21"/>
    <mergeCell ref="BF21:BI21"/>
    <mergeCell ref="BU21:BX21"/>
    <mergeCell ref="BF24:BI24"/>
    <mergeCell ref="BU24:BX24"/>
    <mergeCell ref="M25:P25"/>
    <mergeCell ref="AB25:AE25"/>
    <mergeCell ref="AQ25:AT25"/>
    <mergeCell ref="BF25:BI25"/>
    <mergeCell ref="BU25:BX25"/>
    <mergeCell ref="M22:P22"/>
    <mergeCell ref="AB22:AE22"/>
    <mergeCell ref="AQ22:AT22"/>
    <mergeCell ref="BF22:BI22"/>
    <mergeCell ref="BU22:BX22"/>
    <mergeCell ref="M23:P23"/>
    <mergeCell ref="AB23:AE23"/>
    <mergeCell ref="AQ23:AT23"/>
    <mergeCell ref="BF23:BI23"/>
    <mergeCell ref="BU23:BX23"/>
    <mergeCell ref="BU17:BX17"/>
    <mergeCell ref="M18:P18"/>
    <mergeCell ref="AB18:AE18"/>
    <mergeCell ref="AQ18:AT18"/>
    <mergeCell ref="BF18:BI18"/>
    <mergeCell ref="BU18:BX18"/>
    <mergeCell ref="M20:P20"/>
    <mergeCell ref="AB20:AE20"/>
    <mergeCell ref="AQ20:AT20"/>
    <mergeCell ref="BF20:BI20"/>
    <mergeCell ref="BU20:BX20"/>
    <mergeCell ref="F17:H17"/>
    <mergeCell ref="M17:P17"/>
    <mergeCell ref="U17:W17"/>
    <mergeCell ref="AB17:AE17"/>
    <mergeCell ref="AJ17:AL17"/>
    <mergeCell ref="AQ17:AT17"/>
    <mergeCell ref="AY17:BA17"/>
    <mergeCell ref="BF17:BI17"/>
    <mergeCell ref="BN17:BP17"/>
  </mergeCells>
  <dataValidations count="11">
    <dataValidation type="list" allowBlank="1" showInputMessage="1" showErrorMessage="1" sqref="AG21" xr:uid="{00000000-0002-0000-0200-000000000000}">
      <formula1>$CA$17:$CA$19</formula1>
    </dataValidation>
    <dataValidation type="list" allowBlank="1" showInputMessage="1" showErrorMessage="1" sqref="C21" xr:uid="{00000000-0002-0000-0200-000001000000}">
      <formula1>$CA$20:$CA$24</formula1>
    </dataValidation>
    <dataValidation type="list" allowBlank="1" showInputMessage="1" showErrorMessage="1" sqref="C22" xr:uid="{00000000-0002-0000-0200-000002000000}">
      <formula1>$CA$25:$CA$27</formula1>
    </dataValidation>
    <dataValidation type="list" allowBlank="1" showInputMessage="1" showErrorMessage="1" sqref="R20" xr:uid="{00000000-0002-0000-0200-000003000000}">
      <formula1>$CC$17:$CC$19</formula1>
    </dataValidation>
    <dataValidation type="list" allowBlank="1" showInputMessage="1" showErrorMessage="1" sqref="R21" xr:uid="{00000000-0002-0000-0200-000004000000}">
      <formula1>$CC$20:$CC$25</formula1>
    </dataValidation>
    <dataValidation type="list" allowBlank="1" showInputMessage="1" showErrorMessage="1" sqref="C20" xr:uid="{00000000-0002-0000-0200-000005000000}">
      <formula1>$CE$20:$CE$23</formula1>
    </dataValidation>
    <dataValidation type="list" allowBlank="1" showInputMessage="1" showErrorMessage="1" sqref="AV20" xr:uid="{00000000-0002-0000-0200-000006000000}">
      <formula1>$CG$26:$CG$28</formula1>
    </dataValidation>
    <dataValidation type="list" allowBlank="1" showInputMessage="1" showErrorMessage="1" sqref="AV21" xr:uid="{00000000-0002-0000-0200-000007000000}">
      <formula1>$CG$21:$CG$24</formula1>
    </dataValidation>
    <dataValidation type="list" allowBlank="1" showInputMessage="1" showErrorMessage="1" sqref="BK21" xr:uid="{00000000-0002-0000-0200-000008000000}">
      <formula1>$CC$20:$CC$23</formula1>
    </dataValidation>
    <dataValidation type="list" allowBlank="1" showInputMessage="1" showErrorMessage="1" sqref="BK23 R22" xr:uid="{00000000-0002-0000-0200-000009000000}">
      <formula1>$CC$26:$CC$30</formula1>
    </dataValidation>
    <dataValidation type="list" allowBlank="1" showInputMessage="1" showErrorMessage="1" sqref="BK22" xr:uid="{9FCEA29E-D299-4663-A9BE-910F6A1639A8}">
      <formula1>$CA$29:$CA$32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Block 1</vt:lpstr>
      <vt:lpstr>Block 2</vt:lpstr>
      <vt:lpstr>Block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2017-11-11T15:52:50Z</dcterms:created>
  <dcterms:modified xsi:type="dcterms:W3CDTF">2018-09-22T19:24:54Z</dcterms:modified>
</cp:coreProperties>
</file>